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erver\Documents\2021\OFS\2104-AWA-MMOR\"/>
    </mc:Choice>
  </mc:AlternateContent>
  <xr:revisionPtr revIDLastSave="0" documentId="13_ncr:1_{F72B799A-8400-44AD-90C6-A74954018D4E}" xr6:coauthVersionLast="45" xr6:coauthVersionMax="45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0730" windowHeight="11160" tabRatio="958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2" l="1"/>
  <c r="F29" i="12"/>
  <c r="E29" i="12"/>
  <c r="D29" i="12"/>
  <c r="C29" i="12"/>
  <c r="B29" i="12"/>
  <c r="F68" i="5"/>
  <c r="E68" i="5"/>
  <c r="D68" i="5"/>
  <c r="C68" i="5"/>
  <c r="B68" i="5"/>
  <c r="K9" i="3"/>
  <c r="K10" i="3"/>
  <c r="K11" i="3"/>
  <c r="K12" i="3"/>
  <c r="B47" i="1"/>
  <c r="C47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17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4" i="5"/>
  <c r="G36" i="5"/>
  <c r="G35" i="5"/>
  <c r="G38" i="5"/>
  <c r="G39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G29" i="7"/>
  <c r="U4" i="25"/>
  <c r="F9" i="7"/>
  <c r="F19" i="7"/>
  <c r="F29" i="7"/>
  <c r="T4" i="25"/>
  <c r="E9" i="7"/>
  <c r="E19" i="7"/>
  <c r="E29" i="7"/>
  <c r="S4" i="25"/>
  <c r="S3" i="25"/>
  <c r="D9" i="7"/>
  <c r="D19" i="7"/>
  <c r="D29" i="7"/>
  <c r="R4" i="25"/>
  <c r="R3" i="25"/>
  <c r="C9" i="7"/>
  <c r="C19" i="7"/>
  <c r="C29" i="7"/>
  <c r="Q4" i="25"/>
  <c r="B9" i="7"/>
  <c r="B19" i="7"/>
  <c r="B29" i="7"/>
  <c r="P4" i="25"/>
  <c r="U3" i="25"/>
  <c r="T3" i="25"/>
  <c r="Q3" i="25"/>
  <c r="P3" i="25"/>
  <c r="S2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6" i="5"/>
  <c r="G47" i="5"/>
  <c r="G48" i="5"/>
  <c r="G49" i="5"/>
  <c r="G50" i="5"/>
  <c r="G51" i="5"/>
  <c r="G52" i="5"/>
  <c r="G53" i="5"/>
  <c r="G45" i="5"/>
  <c r="U37" i="20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/>
  <c r="U47" i="20"/>
  <c r="U48" i="20"/>
  <c r="U49" i="20"/>
  <c r="U50" i="20"/>
  <c r="G60" i="5"/>
  <c r="G61" i="5"/>
  <c r="G59" i="5"/>
  <c r="U51" i="20"/>
  <c r="U52" i="20"/>
  <c r="U53" i="20"/>
  <c r="G62" i="5"/>
  <c r="U54" i="20"/>
  <c r="G63" i="5"/>
  <c r="U55" i="20"/>
  <c r="G65" i="5"/>
  <c r="U56" i="20"/>
  <c r="G68" i="5"/>
  <c r="G67" i="5"/>
  <c r="U57" i="20"/>
  <c r="U58" i="20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5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J14" i="3"/>
  <c r="X4" i="17"/>
  <c r="I14" i="3"/>
  <c r="I8" i="3"/>
  <c r="I20" i="3"/>
  <c r="W5" i="17"/>
  <c r="H14" i="3"/>
  <c r="G14" i="3"/>
  <c r="E14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19" i="1"/>
  <c r="E23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31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<sst xmlns="http://schemas.openxmlformats.org/spreadsheetml/2006/main" count="4243" uniqueCount="3306">
  <si>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</si>
  <si>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</si>
  <si>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</si>
  <si>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</si>
  <si>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</si>
  <si>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</si>
  <si>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</si>
  <si>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</si>
  <si>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</si>
  <si>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</si>
  <si>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</si>
  <si>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</si>
  <si>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</si>
  <si>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</si>
  <si>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</si>
  <si>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</si>
  <si>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</si>
  <si>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</si>
  <si>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</si>
  <si>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</si>
  <si>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</si>
  <si>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</si>
  <si>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</si>
  <si>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</si>
  <si>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</si>
  <si>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</si>
  <si>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</si>
  <si>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</si>
  <si>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</si>
  <si>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</si>
  <si>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</si>
  <si>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</si>
  <si>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</si>
  <si>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</si>
  <si>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</si>
  <si>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</si>
  <si>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</si>
  <si>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</si>
  <si>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</si>
  <si>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</si>
  <si>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</si>
  <si>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</si>
  <si>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</si>
  <si>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</si>
  <si>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</si>
  <si>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</si>
  <si>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</si>
  <si>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</si>
  <si>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</si>
  <si>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</si>
  <si>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</si>
  <si>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</si>
  <si>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</si>
  <si>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</si>
  <si>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</si>
  <si>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</si>
  <si>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</si>
  <si>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</si>
  <si>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</si>
  <si>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</si>
  <si>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</si>
  <si>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</si>
  <si>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</si>
  <si>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</si>
  <si>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</si>
  <si>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</si>
  <si>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</si>
  <si>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</si>
  <si>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</si>
  <si>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</si>
  <si>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</si>
  <si>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</si>
  <si>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</si>
  <si>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</si>
  <si>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</si>
  <si>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</si>
  <si>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</si>
  <si>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</si>
  <si>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</si>
  <si>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</si>
  <si>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</si>
  <si>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</si>
  <si>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</si>
  <si>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</si>
  <si>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</si>
  <si>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</si>
  <si>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</si>
  <si>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</si>
  <si>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</si>
  <si>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</si>
  <si>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</si>
  <si>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</si>
  <si>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</si>
  <si>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</si>
  <si>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</si>
  <si>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</si>
  <si>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</si>
  <si>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</si>
  <si>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</si>
  <si>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</si>
  <si>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</si>
  <si>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</si>
  <si>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</si>
  <si>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</si>
  <si>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</si>
  <si>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</si>
  <si>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</si>
  <si>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</si>
  <si>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</si>
  <si>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</si>
  <si>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</si>
  <si>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</si>
  <si>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</si>
  <si>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</si>
  <si>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</si>
  <si>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</si>
  <si>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</si>
  <si>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</si>
  <si>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</si>
  <si>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</si>
  <si>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</si>
  <si>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</si>
  <si>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</si>
  <si>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</si>
  <si>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</si>
  <si>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</si>
  <si>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</si>
  <si>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</si>
  <si>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</si>
  <si>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</si>
  <si>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</si>
  <si>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</si>
  <si>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</si>
  <si>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</si>
  <si>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</si>
  <si>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</si>
  <si>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</si>
  <si>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</si>
  <si>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</si>
  <si>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</si>
  <si>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</si>
  <si>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</si>
  <si>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</si>
  <si>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</si>
  <si>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</si>
  <si>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</si>
  <si>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</si>
  <si>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</si>
  <si>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</si>
  <si>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</si>
  <si>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</si>
  <si>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</si>
  <si>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</si>
  <si>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</si>
  <si>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</si>
  <si>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</si>
  <si>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</si>
  <si>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</si>
  <si>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</si>
  <si>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</si>
  <si>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</si>
  <si>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</si>
  <si>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</si>
  <si>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</si>
  <si>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</si>
  <si>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</si>
  <si>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</si>
  <si>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</si>
  <si>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</si>
  <si>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</si>
  <si>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</si>
  <si>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</si>
  <si>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</si>
  <si>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</si>
  <si>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</si>
  <si>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</si>
  <si>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</si>
  <si>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</si>
  <si>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</si>
  <si>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</si>
  <si>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</si>
  <si>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</si>
  <si>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</si>
  <si>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</si>
  <si>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</si>
  <si>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</si>
  <si>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</si>
  <si>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</si>
  <si>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</si>
  <si>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</si>
  <si>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</si>
  <si>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</si>
  <si>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</si>
  <si>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</si>
  <si>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</si>
  <si>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</si>
  <si>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</si>
  <si>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</si>
  <si>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</si>
  <si>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</si>
  <si>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</si>
  <si>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</si>
  <si>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</si>
  <si>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</si>
  <si>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</si>
  <si>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</si>
  <si>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</si>
  <si>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</si>
  <si>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</si>
  <si>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</si>
  <si>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</si>
  <si>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</si>
  <si>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</si>
  <si>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</si>
  <si>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</si>
  <si>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</si>
  <si>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</si>
  <si>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</si>
  <si>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</si>
  <si>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</si>
  <si>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</si>
  <si>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</si>
  <si>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</si>
  <si>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</si>
  <si>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</si>
  <si>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</si>
  <si>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</si>
  <si>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</si>
  <si>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</si>
  <si>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</si>
  <si>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</si>
  <si>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</si>
  <si>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</si>
  <si>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</si>
  <si>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</si>
  <si>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</si>
  <si>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</si>
  <si>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</si>
  <si>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</si>
  <si>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</si>
  <si>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</si>
  <si>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</si>
  <si>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</si>
  <si>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</si>
  <si>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</si>
  <si>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</si>
  <si>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</si>
  <si>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</si>
  <si>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</si>
  <si>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</si>
  <si>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</si>
  <si>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</si>
  <si>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</si>
  <si>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</si>
  <si>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</si>
  <si>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</si>
  <si>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</si>
  <si>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</si>
  <si>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</si>
  <si>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</si>
  <si>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</si>
  <si>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</si>
  <si>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</si>
  <si>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</si>
  <si>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</si>
  <si>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</si>
  <si>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</si>
  <si>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</si>
  <si>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</si>
  <si>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</si>
  <si>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</si>
  <si>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</si>
  <si>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</si>
  <si>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</si>
  <si>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</si>
  <si>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</si>
  <si>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</si>
  <si>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</si>
  <si>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</si>
  <si>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</si>
  <si>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</si>
  <si>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</si>
  <si>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</si>
  <si>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</si>
  <si>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</si>
  <si>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</si>
  <si>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</si>
  <si>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</si>
  <si>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</si>
  <si>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</si>
  <si>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</si>
  <si>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</si>
  <si>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</si>
  <si>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</si>
  <si>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</si>
  <si>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</si>
  <si>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</si>
  <si>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</si>
  <si>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</si>
  <si>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</si>
  <si>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</si>
  <si>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</si>
  <si>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</si>
  <si>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</si>
  <si>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</si>
  <si>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</si>
  <si>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</si>
  <si>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</si>
  <si>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</si>
  <si>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</si>
  <si>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</si>
  <si>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</si>
  <si>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</si>
  <si>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</si>
  <si>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</si>
  <si>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</si>
  <si>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</si>
  <si>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</si>
  <si>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</si>
  <si>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</si>
  <si>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</si>
  <si>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</si>
  <si>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</si>
  <si>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</si>
  <si>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</si>
  <si>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</si>
  <si>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</si>
  <si>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</si>
  <si>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</si>
  <si>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</si>
  <si>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</si>
  <si>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</si>
  <si>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</si>
  <si>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</si>
  <si>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</si>
  <si>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</si>
  <si>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</si>
  <si>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</si>
  <si>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</si>
  <si>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</si>
  <si>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</si>
  <si>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</si>
  <si>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</si>
  <si>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</si>
  <si>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</si>
  <si>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</si>
  <si>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</si>
  <si>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</si>
  <si>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</si>
  <si>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</si>
  <si>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</si>
  <si>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</si>
  <si>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</si>
  <si>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</si>
  <si>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</si>
  <si>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</si>
  <si>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</si>
  <si>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</si>
  <si>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</si>
  <si>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</si>
  <si>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</si>
  <si>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</si>
  <si>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</si>
  <si>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</si>
  <si>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</si>
  <si>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</si>
  <si>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</si>
  <si>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</si>
  <si>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</si>
  <si>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</si>
  <si>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</si>
  <si>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</si>
  <si>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</si>
  <si>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</si>
  <si>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</si>
  <si>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</si>
  <si>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</si>
  <si>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</si>
  <si>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</si>
  <si>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</si>
  <si>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</si>
  <si>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</si>
  <si>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</si>
  <si>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</si>
  <si>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</si>
  <si>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</si>
  <si>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</si>
  <si>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</si>
  <si>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</si>
  <si>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</si>
  <si>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</si>
  <si>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</si>
  <si>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</si>
  <si>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</si>
  <si>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</si>
  <si>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</si>
  <si>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</si>
  <si>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</si>
  <si>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</si>
  <si>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</si>
  <si>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</si>
  <si>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</si>
  <si>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</si>
  <si>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</si>
  <si>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</si>
  <si>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</si>
  <si>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</si>
  <si>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</si>
  <si>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</si>
  <si>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</si>
  <si>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</si>
  <si>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</si>
  <si>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</si>
  <si>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</si>
  <si>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</si>
  <si>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</si>
  <si>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</si>
  <si>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</si>
  <si>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</si>
  <si>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</si>
  <si>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</si>
  <si>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</si>
  <si>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</si>
  <si>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</si>
  <si>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</si>
  <si>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</si>
  <si>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</si>
  <si>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</si>
  <si>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</si>
  <si>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</si>
  <si>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</si>
  <si>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</si>
  <si>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</si>
  <si>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</si>
  <si>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</si>
  <si>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</si>
  <si>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</si>
  <si>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</si>
  <si>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</si>
  <si>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</si>
  <si>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</si>
  <si>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</si>
  <si>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</si>
  <si>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</si>
  <si>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</si>
  <si>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</si>
  <si>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</si>
  <si>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</si>
  <si>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</si>
  <si>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</si>
  <si>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</si>
  <si>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</si>
  <si>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</si>
  <si>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</si>
  <si>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</si>
  <si>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</si>
  <si>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</si>
  <si>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</si>
  <si>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</si>
  <si>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</si>
  <si>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</si>
  <si>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</si>
  <si>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</si>
  <si>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</si>
  <si>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</si>
  <si>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</si>
  <si>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</si>
  <si>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</si>
  <si>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</si>
  <si>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</si>
  <si>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</si>
  <si>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</si>
  <si>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</si>
  <si>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</si>
  <si>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</si>
  <si>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</si>
  <si>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</si>
  <si>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</si>
  <si>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</si>
  <si>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</si>
  <si>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</si>
  <si>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</si>
  <si>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</si>
  <si>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</si>
  <si>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</si>
  <si>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</si>
  <si>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</si>
  <si>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</si>
  <si>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</si>
  <si>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</si>
  <si>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</si>
  <si>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</si>
  <si>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</si>
  <si>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</si>
  <si>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</si>
  <si>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</si>
  <si>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</si>
  <si>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</si>
  <si>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</si>
  <si>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</si>
  <si>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</si>
  <si>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</si>
  <si>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</si>
  <si>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</si>
  <si>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</si>
  <si>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</si>
  <si>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</si>
  <si>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</si>
  <si>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</si>
  <si>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</si>
  <si>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</si>
  <si>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</si>
  <si>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</si>
  <si>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</si>
  <si>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</si>
  <si>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</si>
  <si>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</si>
  <si>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</si>
  <si>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</si>
  <si>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</si>
  <si>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</si>
  <si>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</si>
  <si>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</si>
  <si>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</si>
  <si>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</si>
  <si>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</si>
  <si>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</si>
  <si>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</si>
  <si>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</si>
  <si>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</si>
  <si>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</si>
  <si>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</si>
  <si>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</si>
  <si>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</si>
  <si>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</si>
  <si>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</si>
  <si>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</si>
  <si>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</si>
  <si>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</si>
  <si>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</si>
  <si>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</si>
  <si>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</si>
  <si>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</si>
  <si>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</si>
  <si>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</si>
  <si>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</si>
  <si>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</si>
  <si>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</si>
  <si>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</si>
  <si>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</si>
  <si>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</si>
  <si>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</si>
  <si>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</si>
  <si>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</si>
  <si>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</si>
  <si>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</si>
  <si>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</si>
  <si>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</si>
  <si>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</si>
  <si>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</si>
  <si>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</si>
  <si>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</si>
  <si>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</si>
  <si>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</si>
  <si>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</si>
  <si>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</si>
  <si>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</si>
  <si>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</si>
  <si>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</si>
  <si>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</si>
  <si>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</si>
  <si>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</si>
  <si>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</si>
  <si>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</si>
  <si>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</si>
  <si>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</si>
  <si>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</si>
  <si>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</si>
  <si>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</si>
  <si>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</si>
  <si>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</si>
  <si>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</si>
  <si>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</si>
  <si>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</si>
  <si>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</si>
  <si>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</si>
  <si>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</si>
  <si>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</si>
  <si>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</si>
  <si>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</si>
  <si>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</si>
  <si>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</si>
  <si>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</si>
  <si>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</si>
  <si>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</si>
  <si>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</si>
  <si>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</si>
  <si>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</si>
  <si>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</si>
  <si>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</si>
  <si>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</si>
  <si>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</si>
  <si>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</si>
  <si>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</si>
  <si>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</si>
  <si>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</si>
  <si>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</si>
  <si>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</si>
  <si>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</si>
  <si>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</si>
  <si>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</si>
  <si>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</si>
  <si>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</si>
  <si>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</si>
  <si>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</si>
  <si>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</si>
  <si>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</si>
  <si>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</si>
  <si>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</si>
  <si>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</si>
  <si>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</si>
  <si>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</si>
  <si>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</si>
  <si>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</si>
  <si>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</si>
  <si>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</si>
  <si>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</si>
  <si>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</si>
  <si>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</si>
  <si>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</si>
  <si>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</si>
  <si>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</si>
  <si>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</si>
  <si>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</si>
  <si>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</si>
  <si>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</si>
  <si>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</si>
  <si>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</si>
  <si>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</si>
  <si>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</si>
  <si>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</si>
  <si>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</si>
  <si>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</si>
  <si>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</si>
  <si>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</si>
  <si>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</si>
  <si>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</si>
  <si>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</si>
  <si>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</si>
  <si>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</si>
  <si>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</si>
  <si>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</si>
  <si>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</si>
  <si>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</si>
  <si>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</si>
  <si>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</si>
  <si>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</si>
  <si>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</si>
  <si>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</si>
  <si>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</si>
  <si>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</si>
  <si>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</si>
  <si>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</si>
  <si>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</si>
  <si>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</si>
  <si>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</si>
  <si>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</si>
  <si>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</si>
  <si>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</si>
  <si>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</si>
  <si>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</si>
  <si>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</si>
  <si>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</si>
  <si>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</si>
  <si>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</si>
  <si>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</si>
  <si>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</si>
  <si>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</si>
  <si>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</si>
  <si>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</si>
  <si>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</si>
  <si>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</si>
  <si>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</si>
  <si>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</si>
  <si>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</si>
  <si>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</si>
  <si>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</si>
  <si>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</si>
  <si>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</si>
  <si>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</si>
  <si>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</si>
  <si>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</si>
  <si>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</si>
  <si>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</si>
  <si>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</si>
  <si>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</si>
  <si>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</si>
  <si>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</si>
  <si>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</si>
  <si>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</si>
  <si>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</si>
  <si>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</si>
  <si>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</si>
  <si>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</si>
  <si>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</si>
  <si>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</si>
  <si>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</si>
  <si>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</si>
  <si>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</si>
  <si>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</si>
  <si>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</si>
  <si>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</si>
  <si>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</si>
  <si>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</si>
  <si>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</si>
  <si>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</si>
  <si>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</si>
  <si>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</si>
  <si>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</si>
  <si>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</si>
  <si>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</si>
  <si>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</si>
  <si>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</si>
  <si>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</si>
  <si>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</si>
  <si>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</si>
  <si>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</si>
  <si>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</si>
  <si>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</si>
  <si>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</si>
  <si>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</si>
  <si>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</si>
  <si>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</si>
  <si>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</si>
  <si>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</si>
  <si>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</si>
  <si>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</si>
  <si>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</si>
  <si>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</si>
  <si>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</si>
  <si>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</si>
  <si>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</si>
  <si>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</si>
  <si>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</si>
  <si>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</si>
  <si>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</si>
  <si>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</si>
  <si>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</si>
  <si>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</si>
  <si>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</si>
  <si>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</si>
  <si>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</si>
  <si>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</si>
  <si>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</si>
  <si>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</si>
  <si>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</si>
  <si>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</si>
  <si>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</si>
  <si>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</si>
  <si>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</si>
  <si>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</si>
  <si>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</si>
  <si>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</si>
  <si>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</si>
  <si>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</si>
  <si>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</si>
  <si>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</si>
  <si>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</si>
  <si>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</si>
  <si>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</si>
  <si>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</si>
  <si>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</si>
  <si>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</si>
  <si>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</si>
  <si>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</si>
  <si>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</si>
  <si>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</si>
  <si>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</si>
  <si>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</si>
  <si>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</si>
  <si>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</si>
  <si>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</si>
  <si>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</si>
  <si>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</si>
  <si>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</si>
  <si>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</si>
  <si>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</si>
  <si>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</si>
  <si>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</si>
  <si>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</si>
  <si>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</si>
  <si>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</si>
  <si>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</si>
  <si>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</si>
  <si>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</si>
  <si>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</si>
  <si>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</si>
  <si>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</si>
  <si>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</si>
  <si>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</si>
  <si>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</si>
  <si>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</si>
  <si>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</si>
  <si>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</si>
  <si>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</si>
  <si>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</si>
  <si>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</si>
  <si>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</si>
  <si>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</si>
  <si>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</si>
  <si>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</si>
  <si>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</si>
  <si>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</si>
  <si>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</si>
  <si>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</si>
  <si>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</si>
  <si>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</si>
  <si>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</si>
  <si>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</si>
  <si>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</si>
  <si>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</si>
  <si>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</si>
  <si>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</si>
  <si>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</si>
  <si>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</si>
  <si>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</si>
  <si>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</si>
  <si>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</si>
  <si>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</si>
  <si>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</si>
  <si>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</si>
  <si>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</si>
  <si>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</si>
  <si>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</si>
  <si>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</si>
  <si>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</si>
  <si>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</si>
  <si>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</si>
  <si>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</si>
  <si>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</si>
  <si>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</si>
  <si>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</si>
  <si>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</si>
  <si>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</si>
  <si>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</si>
  <si>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</si>
  <si>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</si>
  <si>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</si>
  <si>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</si>
  <si>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</si>
  <si>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</si>
  <si>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</si>
  <si>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</si>
  <si>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</si>
  <si>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</si>
  <si>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</si>
  <si>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</si>
  <si>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</si>
  <si>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</si>
  <si>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</si>
  <si>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</si>
  <si>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</si>
  <si>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</si>
  <si>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</si>
  <si>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</si>
  <si>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</si>
  <si>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</si>
  <si>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</si>
  <si>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</si>
  <si>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</si>
  <si>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</si>
  <si>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</si>
  <si>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</si>
  <si>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</si>
  <si>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</si>
  <si>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</si>
  <si>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</si>
  <si>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</si>
  <si>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</si>
  <si>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</si>
  <si>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</si>
  <si>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</si>
  <si>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</si>
  <si>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</si>
  <si>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</si>
  <si>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</si>
  <si>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</si>
  <si>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</si>
  <si>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</si>
  <si>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</si>
  <si>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</si>
  <si>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</si>
  <si>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</si>
  <si>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</si>
  <si>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</si>
  <si>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</si>
  <si>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</si>
  <si>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</si>
  <si>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</si>
  <si>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</si>
  <si>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</si>
  <si>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</si>
  <si>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</si>
  <si>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</si>
  <si>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</si>
  <si>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</si>
  <si>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</si>
  <si>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</si>
  <si>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</si>
  <si>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</si>
  <si>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</si>
  <si>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</si>
  <si>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</si>
  <si>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</si>
  <si>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</si>
  <si>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</si>
  <si>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</si>
  <si>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</si>
  <si>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</si>
  <si>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</si>
  <si>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</si>
  <si>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</si>
  <si>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</si>
  <si>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</si>
  <si>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</si>
  <si>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</si>
  <si>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</si>
  <si>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</si>
  <si>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</si>
  <si>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</si>
  <si>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</si>
  <si>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</si>
  <si>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</si>
  <si>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</si>
  <si>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</si>
  <si>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</si>
  <si>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</si>
  <si>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</si>
  <si>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</si>
  <si>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</si>
  <si>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</si>
  <si>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</si>
  <si>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</si>
  <si>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</si>
  <si>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</si>
  <si>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</si>
  <si>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</si>
  <si>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</si>
  <si>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</si>
  <si>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</si>
  <si>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</si>
  <si>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</si>
  <si>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</si>
  <si>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</si>
  <si>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</si>
  <si>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</si>
  <si>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</si>
  <si>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</si>
  <si>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</si>
  <si>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</si>
  <si>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</si>
  <si>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</si>
  <si>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</si>
  <si>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</si>
  <si>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</si>
  <si>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</si>
  <si>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</si>
  <si>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</si>
  <si>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</si>
  <si>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</si>
  <si>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</si>
  <si>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</si>
  <si>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</si>
  <si>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</si>
  <si>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</si>
  <si>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</si>
  <si>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</si>
  <si>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</si>
  <si>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</si>
  <si>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</si>
  <si>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</si>
  <si>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</si>
  <si>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</si>
  <si>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</si>
  <si>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</si>
  <si>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</si>
  <si>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</si>
  <si>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</si>
  <si>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</si>
  <si>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</si>
  <si>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</si>
  <si>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</si>
  <si>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</si>
  <si>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</si>
  <si>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</si>
  <si>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</si>
  <si>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</si>
  <si>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</si>
  <si>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</si>
  <si>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</si>
  <si>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</si>
  <si>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</si>
  <si>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</si>
  <si>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</si>
  <si>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</si>
  <si>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</si>
  <si>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</si>
  <si>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</si>
  <si>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</si>
  <si>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</si>
  <si>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</si>
  <si>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</si>
  <si>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</si>
  <si>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</si>
  <si>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</si>
  <si>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</si>
  <si>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</si>
  <si>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</si>
  <si>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</si>
  <si>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</si>
  <si>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</si>
  <si>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</si>
  <si>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</si>
  <si>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</si>
  <si>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</si>
  <si>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</si>
  <si>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</si>
  <si>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</si>
  <si>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</si>
  <si>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</si>
  <si>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</si>
  <si>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</si>
  <si>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</si>
  <si>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</si>
  <si>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</si>
  <si>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</si>
  <si>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</si>
  <si>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</si>
  <si>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</si>
  <si>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</si>
  <si>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</si>
  <si>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</si>
  <si>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</si>
  <si>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</si>
  <si>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</si>
  <si>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</si>
  <si>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</si>
  <si>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</si>
  <si>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</si>
  <si>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</si>
  <si>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</si>
  <si>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</si>
  <si>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</si>
  <si>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</si>
  <si>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</si>
  <si>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</si>
  <si>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</si>
  <si>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</si>
  <si>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</si>
  <si>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</si>
  <si>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</si>
  <si>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</si>
  <si>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</si>
  <si>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</si>
  <si>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</si>
  <si>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</si>
  <si>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</si>
  <si>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</si>
  <si>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</si>
  <si>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</si>
  <si>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</si>
  <si>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</si>
  <si>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</si>
  <si>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</si>
  <si>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</si>
  <si>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</si>
  <si>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</si>
  <si>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</si>
  <si>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</si>
  <si>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</si>
  <si>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</si>
  <si>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</si>
  <si>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</si>
  <si>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</si>
  <si>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</si>
  <si>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</si>
  <si>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</si>
  <si>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</si>
  <si>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</si>
  <si>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</si>
  <si>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</si>
  <si>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</si>
  <si>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</si>
  <si>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</si>
  <si>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</si>
  <si>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</si>
  <si>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</si>
  <si>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</si>
  <si>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</si>
  <si>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</si>
  <si>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</si>
  <si>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</si>
  <si>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</si>
  <si>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</si>
  <si>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</si>
  <si>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</si>
  <si>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</si>
  <si>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</si>
  <si>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</si>
  <si>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</si>
  <si>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</si>
  <si>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</si>
  <si>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</si>
  <si>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</si>
  <si>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</si>
  <si>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</si>
  <si>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</si>
  <si>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</si>
  <si>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</si>
  <si>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</si>
  <si>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</si>
  <si>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</si>
  <si>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</si>
  <si>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</si>
  <si>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</si>
  <si>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</si>
  <si>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</si>
  <si>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</si>
  <si>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</si>
  <si>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</si>
  <si>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</si>
  <si>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</si>
  <si>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</si>
  <si>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</si>
  <si>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</si>
  <si>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</si>
  <si>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</si>
  <si>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</si>
  <si>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</si>
  <si>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</si>
  <si>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</si>
  <si>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</si>
  <si>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</si>
  <si>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</si>
  <si>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</si>
  <si>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</si>
  <si>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</si>
  <si>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</si>
  <si>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</si>
  <si>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</si>
  <si>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</si>
  <si>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</si>
  <si>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</si>
  <si>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</si>
  <si>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</si>
  <si>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</si>
  <si>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</si>
  <si>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</si>
  <si>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</si>
  <si>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</si>
  <si>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</si>
  <si>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</si>
  <si>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</si>
  <si>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</si>
  <si>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</si>
  <si>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</si>
  <si>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</si>
  <si>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</si>
  <si>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</si>
  <si>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</si>
  <si>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</si>
  <si>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</si>
  <si>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</si>
  <si>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</si>
  <si>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</si>
  <si>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</si>
  <si>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</si>
  <si>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</si>
  <si>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</si>
  <si>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</si>
  <si>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</si>
  <si>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</si>
  <si>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</si>
  <si>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</si>
  <si>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</si>
  <si>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</si>
  <si>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</si>
  <si>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</si>
  <si>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</si>
  <si>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</si>
  <si>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</si>
  <si>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</si>
  <si>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</si>
  <si>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</si>
  <si>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</si>
  <si>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</si>
  <si>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</si>
  <si>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</si>
  <si>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</si>
  <si>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</si>
  <si>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</si>
  <si>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</si>
  <si>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</si>
  <si>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</si>
  <si>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</si>
  <si>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</si>
  <si>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</si>
  <si>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</si>
  <si>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</si>
  <si>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</si>
  <si>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</si>
  <si>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</si>
  <si>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</si>
  <si>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</si>
  <si>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</si>
  <si>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</si>
  <si>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</si>
  <si>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</si>
  <si>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</si>
  <si>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</si>
  <si>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</si>
  <si>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</si>
  <si>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</si>
  <si>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</si>
  <si>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</si>
  <si>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</si>
  <si>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</si>
  <si>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</si>
  <si>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</si>
  <si>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</si>
  <si>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</si>
  <si>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</si>
  <si>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</si>
  <si>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</si>
  <si>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</si>
  <si>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</si>
  <si>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</si>
  <si>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</si>
  <si>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</si>
  <si>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</si>
  <si>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</si>
  <si>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</si>
  <si>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</si>
  <si>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</si>
  <si>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</si>
  <si>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</si>
  <si>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</si>
  <si>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</si>
  <si>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</si>
  <si>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</si>
  <si>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</si>
  <si>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</si>
  <si>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</si>
  <si>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</si>
  <si>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</si>
  <si>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</si>
  <si>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</si>
  <si>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</si>
  <si>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</si>
  <si>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</si>
  <si>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</si>
  <si>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</si>
  <si>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</si>
  <si>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</si>
  <si>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</si>
  <si>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</si>
  <si>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</si>
  <si>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</si>
  <si>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</si>
  <si>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</si>
  <si>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</si>
  <si>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</si>
  <si>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</si>
  <si>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</si>
  <si>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</si>
  <si>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</si>
  <si>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</si>
  <si>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</si>
  <si>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</si>
  <si>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</si>
  <si>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</si>
  <si>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</si>
  <si>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</si>
  <si>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</si>
  <si>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</si>
  <si>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</si>
  <si>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</si>
  <si>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</si>
  <si>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</si>
  <si>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</si>
  <si>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</si>
  <si>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</si>
  <si>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</si>
  <si>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</si>
  <si>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</si>
  <si>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</si>
  <si>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</si>
  <si>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</si>
  <si>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</si>
  <si>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</si>
  <si>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</si>
  <si>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</si>
  <si>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</si>
  <si>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</si>
  <si>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</si>
  <si>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</si>
  <si>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</si>
  <si>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</si>
  <si>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</si>
  <si>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</si>
  <si>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</si>
  <si>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</si>
  <si>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</si>
  <si>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</si>
  <si>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</si>
  <si>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</si>
  <si>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</si>
  <si>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</si>
  <si>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</si>
  <si>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</si>
  <si>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</si>
  <si>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</si>
  <si>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</si>
  <si>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</si>
  <si>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</si>
  <si>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</si>
  <si>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</si>
  <si>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</si>
  <si>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</si>
  <si>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</si>
  <si>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</si>
  <si>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</si>
  <si>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</si>
  <si>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</si>
  <si>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</si>
  <si>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</si>
  <si>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</si>
  <si>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</si>
  <si>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</si>
  <si>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</si>
  <si>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</si>
  <si>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</si>
  <si>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</si>
  <si>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</si>
  <si>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</si>
  <si>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</si>
  <si>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</si>
  <si>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</si>
  <si>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</si>
  <si>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</si>
  <si>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</si>
  <si>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</si>
  <si>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</si>
  <si>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</si>
  <si>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</si>
  <si>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</si>
  <si>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</si>
  <si>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</si>
  <si>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</si>
  <si>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</si>
  <si>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</si>
  <si>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</si>
  <si>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</si>
  <si>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</si>
  <si>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</si>
  <si>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</si>
  <si>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</si>
  <si>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</si>
  <si>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</si>
  <si>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</si>
  <si>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</si>
  <si>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</si>
  <si>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</si>
  <si>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</si>
  <si>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</si>
  <si>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</si>
  <si>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</si>
  <si>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</si>
  <si>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</si>
  <si>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</si>
  <si>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</si>
  <si>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</si>
  <si>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</si>
  <si>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</si>
  <si>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</si>
  <si>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</si>
  <si>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</si>
  <si>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</si>
  <si>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</si>
  <si>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</si>
  <si>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</si>
  <si>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</si>
  <si>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</si>
  <si>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</si>
  <si>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</si>
  <si>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</si>
  <si>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</si>
  <si>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</si>
  <si>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</si>
  <si>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</si>
  <si>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</si>
  <si>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</si>
  <si>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</si>
  <si>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</si>
  <si>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</si>
  <si>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</si>
  <si>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</si>
  <si>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</si>
  <si>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</si>
  <si>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</si>
  <si>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</si>
  <si>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</si>
  <si>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</si>
  <si>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</si>
  <si>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</si>
  <si>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</si>
  <si>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</si>
  <si>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</si>
  <si>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</si>
  <si>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</si>
  <si>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</si>
  <si>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</si>
  <si>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</si>
  <si>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</si>
  <si>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</si>
  <si>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</si>
  <si>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</si>
  <si>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</si>
  <si>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</si>
  <si>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</si>
  <si>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</si>
  <si>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</si>
  <si>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</si>
  <si>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</si>
  <si>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</si>
  <si>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</si>
  <si>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</si>
  <si>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</si>
  <si>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</si>
  <si>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</si>
  <si>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</si>
  <si>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</si>
  <si>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</si>
  <si>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</si>
  <si>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</si>
  <si>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</si>
  <si>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</si>
  <si>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</si>
  <si>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</si>
  <si>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</si>
  <si>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</si>
  <si>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</si>
  <si>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</si>
  <si>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</si>
  <si>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</si>
  <si>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</si>
  <si>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</si>
  <si>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</si>
  <si>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</si>
  <si>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</si>
  <si>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</si>
  <si>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</si>
  <si>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</si>
  <si>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</si>
  <si>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</si>
  <si>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</si>
  <si>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</si>
  <si>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</si>
  <si>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</si>
  <si>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</si>
  <si>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</si>
  <si>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</si>
  <si>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</si>
  <si>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</si>
  <si>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</si>
  <si>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</si>
  <si>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</si>
  <si>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</si>
  <si>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</si>
  <si>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</si>
  <si>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</si>
  <si>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</si>
  <si>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</si>
  <si>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</si>
  <si>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</si>
  <si>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</si>
  <si>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</si>
  <si>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</si>
  <si>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</si>
  <si>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</si>
  <si>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</si>
  <si>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</si>
  <si>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</si>
  <si>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</si>
  <si>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</si>
  <si>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</si>
  <si>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</si>
  <si>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</si>
  <si>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</si>
  <si>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</si>
  <si>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</si>
  <si>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</si>
  <si>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</si>
  <si>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</si>
  <si>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</si>
  <si>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</si>
  <si>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</si>
  <si>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</si>
  <si>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</si>
  <si>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</si>
  <si>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</si>
  <si>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</si>
  <si>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</si>
  <si>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</si>
  <si>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</si>
  <si>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</si>
  <si>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</si>
  <si>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</si>
  <si>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</si>
  <si>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</si>
  <si>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</si>
  <si>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</si>
  <si>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</si>
  <si>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</si>
  <si>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</si>
  <si>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</si>
  <si>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</si>
  <si>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</si>
  <si>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</si>
  <si>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</si>
  <si>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</si>
  <si>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</si>
  <si>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</si>
  <si>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</si>
  <si>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</si>
  <si>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</si>
  <si>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</si>
  <si>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</si>
  <si>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</si>
  <si>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</si>
  <si>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</si>
  <si>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</si>
  <si>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</si>
  <si>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</si>
  <si>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</si>
  <si>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</si>
  <si>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</si>
  <si>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</si>
  <si>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</si>
  <si>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</si>
  <si>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</si>
  <si>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</si>
  <si>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</si>
  <si>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</si>
  <si>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</si>
  <si>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</si>
  <si>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</si>
  <si>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</si>
  <si>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</si>
  <si>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</si>
  <si>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</si>
  <si>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</si>
  <si>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</si>
  <si>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</si>
  <si>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</si>
  <si>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</si>
  <si>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</si>
  <si>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</si>
  <si>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</si>
  <si>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</si>
  <si>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</si>
  <si>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</si>
  <si>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</si>
  <si>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</si>
  <si>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</si>
  <si>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</si>
  <si>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</si>
  <si>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</si>
  <si>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</si>
  <si>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</si>
  <si>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</si>
  <si>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</si>
  <si>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</si>
  <si>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</si>
  <si>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</si>
  <si>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</si>
  <si>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</si>
  <si>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</si>
  <si>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</si>
  <si>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</si>
  <si>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</si>
  <si>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</si>
  <si>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</si>
  <si>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</si>
  <si>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</si>
  <si>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</si>
  <si>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</si>
  <si>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</si>
  <si>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</si>
  <si>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</si>
  <si>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</si>
  <si>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</si>
  <si>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</si>
  <si>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</si>
  <si>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</si>
  <si>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</si>
  <si>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</si>
  <si>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</si>
  <si>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</si>
  <si>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</si>
  <si>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</si>
  <si>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</si>
  <si>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</si>
  <si>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</si>
  <si>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</si>
  <si>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</si>
  <si>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</si>
  <si>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</si>
  <si>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</si>
  <si>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</si>
  <si>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</si>
  <si>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</si>
  <si>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</si>
  <si>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</si>
  <si>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</si>
  <si>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</si>
  <si>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</si>
  <si>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</si>
  <si>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</si>
  <si>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</si>
  <si>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</si>
  <si>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</si>
  <si>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</si>
  <si>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</si>
  <si>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</si>
  <si>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</si>
  <si>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</si>
  <si>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</si>
  <si>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</si>
  <si>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</si>
  <si>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</si>
  <si>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</si>
  <si>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</si>
  <si>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</si>
  <si>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</si>
  <si>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</si>
  <si>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</si>
  <si>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</si>
  <si>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</si>
  <si>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</si>
  <si>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</si>
  <si>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</si>
  <si>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</si>
  <si>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</si>
  <si>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</si>
  <si>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</si>
  <si>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</si>
  <si>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</si>
  <si>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</si>
  <si>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</si>
  <si>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</si>
  <si>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</si>
  <si>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</si>
  <si>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</si>
  <si>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</si>
  <si>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</si>
  <si>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</si>
  <si>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</si>
  <si>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</si>
  <si>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</si>
  <si>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</si>
  <si>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</si>
  <si>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</si>
  <si>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</si>
  <si>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</si>
  <si>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</si>
  <si>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</si>
  <si>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</si>
  <si>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</si>
  <si>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</si>
  <si>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</si>
  <si>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</si>
  <si>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</si>
  <si>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</si>
  <si>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</si>
  <si>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</si>
  <si>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</si>
  <si>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</si>
  <si>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</si>
  <si>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</si>
  <si>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</si>
  <si>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</si>
  <si>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</si>
  <si>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</si>
  <si>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</si>
  <si>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</si>
  <si>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</si>
  <si>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</si>
  <si>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</si>
  <si>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</si>
  <si>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</si>
  <si>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</si>
  <si>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</si>
  <si>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</si>
  <si>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</si>
  <si>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</si>
  <si>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</si>
  <si>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</si>
  <si>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</si>
  <si>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</si>
  <si>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</si>
  <si>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</si>
  <si>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</si>
  <si>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</si>
  <si>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</si>
  <si>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</si>
  <si>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</si>
  <si>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</si>
  <si>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</si>
  <si>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</si>
  <si>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</si>
  <si>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</si>
  <si>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</si>
  <si>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</si>
  <si>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</si>
  <si>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</si>
  <si>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</si>
  <si>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</si>
  <si>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</si>
  <si>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</si>
  <si>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</si>
  <si>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</si>
  <si>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</si>
  <si>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</si>
  <si>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</si>
  <si>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</si>
  <si>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</si>
  <si>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</si>
  <si>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</si>
  <si>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</si>
  <si>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</si>
  <si>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</si>
  <si>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</si>
  <si>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</si>
  <si>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</si>
  <si>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</si>
  <si>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</si>
  <si>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</si>
  <si>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</si>
  <si>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</si>
  <si>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</si>
  <si>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</si>
  <si>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</si>
  <si>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</si>
  <si>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</si>
  <si>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</si>
  <si>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</si>
  <si>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</si>
  <si>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</si>
  <si>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</si>
  <si>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</si>
  <si>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</si>
  <si>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</si>
  <si>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</si>
  <si>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</si>
  <si>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</si>
  <si>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</si>
  <si>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</si>
  <si>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</si>
  <si>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</si>
  <si>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</si>
  <si>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</si>
  <si>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</si>
  <si>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</si>
  <si>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</si>
  <si>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</si>
  <si>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</si>
  <si>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</si>
  <si>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</si>
  <si>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</si>
  <si>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</si>
  <si>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</si>
  <si>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</si>
  <si>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</si>
  <si>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</si>
  <si>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</si>
  <si>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</si>
  <si>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</si>
  <si>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</si>
  <si>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</si>
  <si>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</si>
  <si>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</si>
  <si>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</si>
  <si>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</si>
  <si>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</si>
  <si>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</si>
  <si>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</si>
  <si>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</si>
  <si>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</si>
  <si>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</si>
  <si>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</si>
  <si>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</si>
  <si>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</si>
  <si>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</si>
  <si>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</si>
  <si>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</si>
  <si>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</si>
  <si>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</si>
  <si>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</si>
  <si>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</si>
  <si>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</si>
  <si>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</si>
  <si>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</si>
  <si>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</si>
  <si>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</si>
  <si>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</si>
  <si>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</si>
  <si>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</si>
  <si>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</si>
  <si>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</si>
  <si>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</si>
  <si>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</si>
  <si>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</si>
  <si>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</si>
  <si>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</si>
  <si>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</si>
  <si>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</si>
  <si>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</si>
  <si>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</si>
  <si>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</si>
  <si>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</si>
  <si>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</si>
  <si>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</si>
  <si>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</si>
  <si>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</si>
  <si>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</si>
  <si>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</si>
  <si>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</si>
  <si>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</si>
  <si>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</si>
  <si>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</si>
  <si>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</si>
  <si>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</si>
  <si>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</si>
  <si>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</si>
  <si>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</si>
  <si>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</si>
  <si>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</si>
  <si>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</si>
  <si>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</si>
  <si>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</si>
  <si>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</si>
  <si>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</si>
  <si>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</si>
  <si>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</si>
  <si>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</si>
  <si>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</si>
  <si>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</si>
  <si>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</si>
  <si>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</si>
  <si>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</si>
  <si>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</si>
  <si>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</si>
  <si>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</si>
  <si>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</si>
  <si>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</si>
  <si>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</si>
  <si>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</si>
  <si>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</si>
  <si>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</si>
  <si>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</si>
  <si>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</si>
  <si>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</si>
  <si>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</si>
  <si>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</si>
  <si>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</si>
  <si>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</si>
  <si>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</si>
  <si>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</si>
  <si>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</si>
  <si>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</si>
  <si>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</si>
  <si>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</si>
  <si>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</si>
  <si>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</si>
  <si>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</si>
  <si>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</si>
  <si>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</si>
  <si>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</si>
  <si>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</si>
  <si>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</si>
  <si>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</si>
  <si>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</si>
  <si>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</si>
  <si>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</si>
  <si>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</si>
  <si>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</si>
  <si>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</si>
  <si>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</si>
  <si>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</si>
  <si>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</si>
  <si>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</si>
  <si>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</si>
  <si>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</si>
  <si>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</si>
  <si>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</si>
  <si>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</si>
  <si>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</si>
  <si>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</si>
  <si>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</si>
  <si>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</si>
  <si>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</si>
  <si>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</si>
  <si>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</si>
  <si>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</si>
  <si>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</si>
  <si>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</si>
  <si>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</si>
  <si>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</si>
  <si>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</si>
  <si>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</si>
  <si>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</si>
  <si>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</si>
  <si>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</si>
  <si>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</si>
  <si>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</si>
  <si>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</si>
  <si>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</si>
  <si>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</si>
  <si>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</si>
  <si>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</si>
  <si>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</si>
  <si>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</si>
  <si>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</si>
  <si>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</si>
  <si>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</si>
  <si>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</si>
  <si>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</si>
  <si>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</si>
  <si>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</si>
  <si>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</si>
  <si>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</si>
  <si>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</si>
  <si>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</si>
  <si>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</si>
  <si>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</si>
  <si>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</si>
  <si>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</si>
  <si>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</si>
  <si>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</si>
  <si>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</si>
  <si>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</si>
  <si>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</si>
  <si>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</si>
  <si>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</si>
  <si>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</si>
  <si>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</si>
  <si>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</si>
  <si>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</si>
  <si>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</si>
  <si>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</si>
  <si>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</si>
  <si>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</si>
  <si>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</si>
  <si>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</si>
  <si>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</si>
  <si>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</si>
  <si>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</si>
  <si>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</si>
  <si>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</si>
  <si>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</si>
  <si>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</si>
  <si>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</si>
  <si>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</si>
  <si>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</si>
  <si>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</si>
  <si>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</si>
  <si>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</si>
  <si>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</si>
  <si>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</si>
  <si>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</si>
  <si>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</si>
  <si>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</si>
  <si>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</si>
  <si>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</si>
  <si>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</si>
  <si>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</si>
  <si>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</si>
  <si>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</si>
  <si>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</si>
  <si>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</si>
  <si>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</si>
  <si>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</si>
  <si>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</si>
  <si>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</si>
  <si>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</si>
  <si>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</si>
  <si>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</si>
  <si>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</si>
  <si>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</si>
  <si>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</si>
  <si>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</si>
  <si>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</si>
  <si>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</si>
  <si>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</si>
  <si>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</si>
  <si>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</si>
  <si>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</si>
  <si>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</si>
  <si>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</si>
  <si>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</si>
  <si>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</si>
  <si>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</si>
  <si>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</si>
  <si>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</si>
  <si>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</si>
  <si>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</si>
  <si>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</si>
  <si>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</si>
  <si>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</si>
  <si>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</si>
  <si>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</si>
  <si>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</si>
  <si>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</si>
  <si>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</si>
  <si>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</si>
  <si>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</si>
  <si>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</si>
  <si>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</si>
  <si>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</si>
  <si>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</si>
  <si>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</si>
  <si>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</si>
  <si>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</si>
  <si>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</si>
  <si>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</si>
  <si>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</si>
  <si>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</si>
  <si>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</si>
  <si>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</si>
  <si>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</si>
  <si>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</si>
  <si>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</si>
  <si>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</si>
  <si>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</si>
  <si>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</si>
  <si>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</si>
  <si>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</si>
  <si>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</si>
  <si>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</si>
  <si>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</si>
  <si>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</si>
  <si>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</si>
  <si>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</si>
  <si>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</si>
  <si>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</si>
  <si>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</si>
  <si>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</si>
  <si>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</si>
  <si>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</si>
  <si>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</si>
  <si>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</si>
  <si>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</si>
  <si>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</si>
  <si>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</si>
  <si>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</si>
  <si>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</si>
  <si>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</si>
  <si>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</si>
  <si>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</si>
  <si>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</si>
  <si>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</si>
  <si>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</si>
  <si>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</si>
  <si>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</si>
  <si>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</si>
  <si>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</si>
  <si>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</si>
  <si>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</si>
  <si>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</si>
  <si>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</si>
  <si>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</si>
  <si>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</si>
  <si>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</si>
  <si>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</si>
  <si>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</si>
  <si>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</si>
  <si>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</si>
  <si>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</si>
  <si>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</si>
  <si>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</si>
  <si>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</si>
  <si>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</si>
  <si>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</si>
  <si>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</si>
  <si>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</si>
  <si>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</si>
  <si>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</si>
  <si>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</si>
  <si>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</si>
  <si>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</si>
  <si>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</si>
  <si>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</si>
  <si>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</si>
  <si>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</si>
  <si>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</si>
  <si>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</si>
  <si>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</si>
  <si>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</si>
  <si>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</si>
  <si>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</si>
  <si>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</si>
  <si>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</si>
  <si>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</si>
  <si>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</si>
  <si>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</si>
  <si>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</si>
  <si>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</si>
  <si>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</si>
  <si>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</si>
  <si>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</si>
  <si>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</si>
  <si>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</si>
  <si>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</si>
  <si>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</si>
  <si>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</si>
  <si>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</si>
  <si>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</si>
  <si>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</si>
  <si>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</si>
  <si>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</si>
  <si>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</si>
  <si>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</si>
  <si>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</si>
  <si>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</si>
  <si>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</si>
  <si>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</si>
  <si>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</si>
  <si>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</si>
  <si>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</si>
  <si>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</si>
  <si>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</si>
  <si>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</si>
  <si>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</si>
  <si>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</si>
  <si>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</si>
  <si>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</si>
  <si>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</si>
  <si>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</si>
  <si>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</si>
  <si>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</si>
  <si>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</si>
  <si>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</si>
  <si>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</si>
  <si>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</si>
  <si>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</si>
  <si>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</si>
  <si>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</si>
  <si>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</si>
  <si>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</si>
  <si>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</si>
  <si>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</si>
  <si>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</si>
  <si>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</si>
  <si>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</si>
  <si>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</si>
  <si>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</si>
  <si>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</si>
  <si>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</si>
  <si>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</si>
  <si>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</si>
  <si>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</si>
  <si>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</si>
  <si>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</si>
  <si>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</si>
  <si>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</si>
  <si>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</si>
  <si>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</si>
  <si>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</si>
  <si>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</si>
  <si>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</si>
  <si>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</si>
  <si>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</si>
  <si>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</si>
  <si>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</si>
  <si>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</si>
  <si>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</si>
  <si>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</si>
  <si>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</si>
  <si>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</si>
  <si>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</si>
  <si>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</si>
  <si>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</si>
  <si>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</si>
  <si>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</si>
  <si>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</si>
  <si>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</si>
  <si>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</si>
  <si>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</si>
  <si>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</si>
  <si>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</si>
  <si>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</si>
  <si>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</si>
  <si>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</si>
  <si>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</si>
  <si>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</si>
  <si>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</si>
  <si>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</si>
  <si>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</si>
  <si>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</si>
  <si>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</si>
  <si>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</si>
  <si>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</si>
  <si>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</si>
  <si>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</si>
  <si>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</si>
  <si>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</si>
  <si>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</si>
  <si>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</si>
  <si>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</si>
  <si>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</si>
  <si>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</si>
  <si>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</si>
  <si>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</si>
  <si>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</si>
  <si>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</si>
  <si>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</si>
  <si>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</si>
  <si>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</si>
  <si>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</si>
  <si>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</si>
  <si>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</si>
  <si>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</si>
  <si>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</si>
  <si>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</si>
  <si>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</si>
  <si>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</si>
  <si>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</si>
  <si>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</si>
  <si>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</si>
  <si>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</si>
  <si>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</si>
  <si>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</si>
  <si>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</si>
  <si>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</si>
  <si>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</si>
  <si>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</si>
  <si>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</si>
  <si>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</si>
  <si>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</si>
  <si>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</si>
  <si>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</si>
  <si>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</si>
  <si>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</si>
  <si>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</si>
  <si>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</si>
  <si>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</si>
  <si>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</si>
  <si>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</si>
  <si>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</si>
  <si>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</si>
  <si>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</si>
  <si>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</si>
  <si>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</si>
  <si>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</si>
  <si>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</si>
  <si>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</si>
  <si>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</si>
  <si>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</si>
  <si>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</si>
  <si>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</si>
  <si>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</si>
  <si>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</si>
  <si>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</si>
  <si>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</si>
  <si>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</si>
  <si>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</si>
  <si>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</si>
  <si>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</si>
  <si>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</si>
  <si>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</si>
  <si>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</si>
  <si>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</si>
  <si>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</si>
  <si>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</si>
  <si>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</si>
  <si>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</si>
  <si>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</si>
  <si>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</si>
  <si>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</si>
  <si>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</si>
  <si>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</si>
  <si>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</si>
  <si>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</si>
  <si>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</si>
  <si>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</si>
  <si>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</si>
  <si>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</si>
  <si>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</si>
  <si>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</si>
  <si>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</si>
  <si>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</si>
  <si>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</si>
  <si>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</si>
  <si>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</si>
  <si>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</si>
  <si>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</si>
  <si>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</si>
  <si>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</si>
  <si>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</si>
  <si>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</si>
  <si>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</si>
  <si>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</si>
  <si>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</si>
  <si>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</si>
  <si>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</si>
  <si>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</si>
  <si>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</si>
  <si>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</si>
  <si>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</si>
  <si>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</si>
  <si>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</si>
  <si>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</si>
  <si>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</si>
  <si>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</si>
  <si>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</si>
  <si>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</si>
  <si>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</si>
  <si>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</si>
  <si>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</si>
  <si>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</si>
  <si>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</si>
  <si>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</si>
  <si>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</si>
  <si>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</si>
  <si>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</si>
  <si>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</si>
  <si>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</si>
  <si>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</si>
  <si>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</si>
  <si>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</si>
  <si>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</si>
  <si>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</si>
  <si>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</si>
  <si>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</si>
  <si>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</si>
  <si>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</si>
  <si>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</si>
  <si>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</si>
  <si>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</si>
  <si>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</si>
  <si>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</si>
  <si>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</si>
  <si>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</si>
  <si>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</si>
  <si>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</si>
  <si>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</si>
  <si>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</si>
  <si>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</si>
  <si>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</si>
  <si>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</si>
  <si>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</si>
  <si>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</si>
  <si>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</si>
  <si>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</si>
  <si>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</si>
  <si>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</si>
  <si>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</si>
  <si>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</si>
  <si>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</si>
  <si>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</si>
  <si>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</si>
  <si>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</si>
  <si>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</si>
  <si>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</si>
  <si>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</si>
  <si>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</si>
  <si>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</si>
  <si>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</si>
  <si>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</si>
  <si>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</si>
  <si>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</si>
  <si>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</si>
  <si>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</si>
  <si>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</si>
  <si>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</si>
  <si>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</si>
  <si>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</si>
  <si>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</si>
  <si>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</si>
  <si>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</si>
  <si>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</si>
  <si>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</si>
  <si>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</si>
  <si>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</si>
  <si>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</si>
  <si>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</si>
  <si>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</si>
  <si>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</si>
  <si>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</si>
  <si>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</si>
  <si>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</si>
  <si>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</si>
  <si>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</si>
  <si>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</si>
  <si>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</si>
  <si>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</si>
  <si>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</si>
  <si>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</si>
  <si>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</si>
  <si>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</si>
  <si>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</si>
  <si>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</si>
  <si>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</si>
  <si>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</si>
  <si>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</si>
  <si>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</si>
  <si>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</si>
  <si>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</si>
  <si>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</si>
  <si>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</si>
  <si>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</si>
  <si>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</si>
  <si>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</si>
  <si>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</si>
  <si>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</si>
  <si>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</si>
  <si>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</si>
  <si>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</si>
  <si>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</si>
  <si>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</si>
  <si>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</si>
  <si>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</si>
  <si>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</si>
  <si>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</si>
  <si>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</si>
  <si>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</si>
  <si>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</si>
  <si>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</si>
  <si>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</si>
  <si>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</si>
  <si>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</si>
  <si>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</si>
  <si>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</si>
  <si>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</si>
  <si>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</si>
  <si>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</si>
  <si>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</si>
  <si>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</si>
  <si>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</si>
  <si>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</si>
  <si>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</si>
  <si>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</si>
  <si>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</si>
  <si>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</si>
  <si>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</si>
  <si>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</si>
  <si>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</si>
  <si>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</si>
  <si>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</si>
  <si>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</si>
  <si>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</si>
  <si>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</si>
  <si>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</si>
  <si>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</si>
  <si>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</si>
  <si>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</si>
  <si>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</si>
  <si>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</si>
  <si>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</si>
  <si>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</si>
  <si>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</si>
  <si>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</si>
  <si>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</si>
  <si>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</si>
  <si>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</si>
  <si>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</si>
  <si>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</si>
  <si>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</si>
  <si>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</si>
  <si>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</si>
  <si>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</si>
  <si>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</si>
  <si>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</si>
  <si>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</si>
  <si>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</si>
  <si>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</si>
  <si>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</si>
  <si>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</si>
  <si>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</si>
  <si>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</si>
  <si>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</si>
  <si>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</si>
  <si>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</si>
  <si>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</si>
  <si>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</si>
  <si>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</si>
  <si>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</si>
  <si>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</si>
  <si>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</si>
  <si>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</si>
  <si>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</si>
  <si>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</si>
  <si>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</si>
  <si>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</si>
  <si>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</si>
  <si>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</si>
  <si>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</si>
  <si>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</si>
  <si>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</si>
  <si>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</si>
  <si>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</si>
  <si>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</si>
  <si>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</si>
  <si>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</si>
  <si>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</si>
  <si>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</si>
  <si>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</si>
  <si>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</si>
  <si>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</si>
  <si>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</si>
  <si>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</si>
  <si>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</si>
  <si>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</si>
  <si>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</si>
  <si>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</si>
  <si>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</si>
  <si>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</si>
  <si>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</si>
  <si>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</si>
  <si>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</si>
  <si>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</si>
  <si>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</si>
  <si>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</si>
  <si>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</si>
  <si>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</si>
  <si>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</si>
  <si>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</si>
  <si>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</si>
  <si>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</si>
  <si>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</si>
  <si>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</si>
  <si>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</si>
  <si>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</si>
  <si>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</si>
  <si>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</si>
  <si>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</si>
  <si>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</si>
  <si>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</si>
  <si>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</si>
  <si>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</si>
  <si>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</si>
  <si>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</si>
  <si>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</si>
  <si>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</si>
  <si>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</si>
  <si>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</si>
  <si>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</si>
  <si>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</si>
  <si>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</si>
  <si>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</si>
  <si>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</si>
  <si>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</si>
  <si>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</si>
  <si>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</si>
  <si>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</si>
  <si>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</si>
  <si>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</si>
  <si>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</si>
  <si>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</si>
  <si>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</si>
  <si>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</si>
  <si>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</si>
  <si>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</si>
  <si>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</si>
  <si>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</si>
  <si>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</si>
  <si>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</si>
  <si>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</si>
  <si>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</si>
  <si>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</si>
  <si>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</si>
  <si>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</si>
  <si>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</si>
  <si>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</si>
  <si>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</si>
  <si>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</si>
  <si>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</si>
  <si>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</si>
  <si>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</si>
  <si>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</si>
  <si>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</si>
  <si>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</si>
  <si>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</si>
  <si>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</si>
  <si>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</si>
  <si>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</si>
  <si>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</si>
  <si>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</si>
  <si>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</si>
  <si>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</si>
  <si>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</si>
  <si>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</si>
  <si>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</si>
  <si>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</si>
  <si>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</si>
  <si>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</si>
  <si>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</si>
  <si>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</si>
  <si>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</si>
  <si>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</si>
  <si>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</si>
  <si>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</si>
  <si>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</si>
  <si>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</si>
  <si>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</si>
  <si>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</si>
  <si>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</si>
  <si>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</si>
  <si>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</si>
  <si>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</si>
  <si>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</si>
  <si>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</si>
  <si>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</si>
  <si>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</si>
  <si>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</si>
  <si>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</si>
  <si>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</si>
  <si>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</si>
  <si>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</si>
  <si>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</si>
  <si>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</si>
  <si>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</si>
  <si>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</si>
  <si>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</si>
  <si>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</si>
  <si>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</si>
  <si>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</si>
  <si>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</si>
  <si>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</si>
  <si>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</si>
  <si>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</si>
  <si>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</si>
  <si>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</si>
  <si>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</si>
  <si>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</si>
  <si>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</si>
  <si>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</si>
  <si>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</si>
  <si>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</si>
  <si>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</si>
  <si>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</si>
  <si>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</si>
  <si>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</si>
  <si>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</si>
  <si>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</si>
  <si>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</si>
  <si>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</si>
  <si>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</si>
  <si>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</si>
  <si>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</si>
  <si>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</si>
  <si>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</si>
  <si>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</si>
  <si>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</si>
  <si>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</si>
  <si>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</si>
  <si>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</si>
  <si>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</si>
  <si>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</si>
  <si>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</si>
  <si>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</si>
  <si>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</si>
  <si>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</si>
  <si>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</si>
  <si>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</si>
  <si>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</si>
  <si>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</si>
  <si>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</si>
  <si>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</si>
  <si>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</si>
  <si>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</si>
  <si>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</si>
  <si>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</si>
  <si>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</si>
  <si>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</si>
  <si>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</si>
  <si>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</si>
  <si>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</si>
  <si>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</si>
  <si>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</si>
  <si>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</si>
  <si>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</si>
  <si>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</si>
  <si>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</si>
  <si>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</si>
  <si>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</si>
  <si>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</si>
  <si>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</si>
  <si>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</si>
  <si>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</si>
  <si>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</si>
  <si>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</si>
  <si>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</si>
  <si>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</si>
  <si>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</si>
  <si>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</si>
  <si>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</si>
  <si>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</si>
  <si>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</si>
  <si>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</si>
  <si>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</si>
  <si>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</si>
  <si>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</si>
  <si>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</si>
  <si>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</si>
  <si>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</si>
  <si>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</si>
  <si>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</si>
  <si>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</si>
  <si>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</si>
  <si>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</si>
  <si>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</si>
  <si>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</si>
  <si>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</si>
  <si>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</si>
  <si>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</si>
  <si>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</si>
  <si>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</si>
  <si>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</si>
  <si>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</si>
  <si>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</si>
  <si>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</si>
  <si>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</si>
  <si>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</si>
  <si>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</si>
  <si>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</si>
  <si>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</si>
  <si>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</si>
  <si>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</si>
  <si>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</si>
  <si>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</si>
  <si>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</si>
  <si>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</si>
  <si>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</si>
  <si>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</si>
  <si>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</si>
  <si>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</si>
  <si>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</si>
  <si>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</si>
  <si>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</si>
  <si>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</si>
  <si>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</si>
  <si>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</si>
  <si>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</si>
  <si>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</si>
  <si>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</si>
  <si>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</si>
  <si>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</si>
  <si>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</si>
  <si>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</si>
  <si>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</si>
  <si>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</si>
  <si>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</si>
  <si>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</si>
  <si>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</si>
  <si>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</si>
  <si>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</si>
  <si>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</si>
  <si>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</si>
  <si>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</si>
  <si>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</si>
  <si>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</si>
  <si>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</si>
  <si>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</si>
  <si>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</si>
  <si>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</si>
  <si>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</si>
  <si>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</si>
  <si>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</si>
  <si>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</si>
  <si>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</si>
  <si>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</si>
  <si>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</si>
  <si>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</si>
  <si>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</si>
  <si>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</si>
  <si>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</si>
  <si>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</si>
  <si>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</si>
  <si>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</si>
  <si>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</si>
  <si>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</si>
  <si>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</si>
  <si>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</si>
  <si>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</si>
  <si>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</si>
  <si>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</si>
  <si>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</si>
  <si>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</si>
  <si>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</si>
  <si>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</si>
  <si>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</si>
  <si>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</si>
  <si>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</si>
  <si>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</si>
  <si>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</si>
  <si>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</si>
  <si>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</si>
  <si>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</si>
  <si>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</si>
  <si>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</si>
  <si>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</si>
  <si>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</si>
  <si>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</si>
  <si>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</si>
  <si>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</si>
  <si>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</si>
  <si>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</si>
  <si>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</si>
  <si>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</si>
  <si>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</si>
  <si>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</si>
  <si>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</si>
  <si>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</si>
  <si>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</si>
  <si>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</si>
  <si>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</si>
  <si>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</si>
  <si>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</si>
  <si>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</si>
  <si>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</si>
  <si>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</si>
  <si>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</si>
  <si>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</si>
  <si>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</si>
  <si>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</si>
  <si>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</si>
  <si>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</si>
  <si>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</si>
  <si>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</si>
  <si>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</si>
  <si>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</si>
  <si>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</si>
  <si>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</si>
  <si>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</si>
  <si>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</si>
  <si>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</si>
  <si>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</si>
  <si>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</si>
  <si>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</si>
  <si>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</si>
  <si>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</si>
  <si>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</si>
  <si>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</si>
  <si>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</si>
  <si>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</si>
  <si>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</si>
  <si>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</si>
  <si>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</si>
  <si>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</si>
  <si>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</si>
  <si>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</si>
  <si>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</si>
  <si>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</si>
  <si>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</si>
  <si>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</si>
  <si>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</si>
  <si>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</si>
  <si>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</si>
  <si>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</si>
  <si>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</si>
  <si>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</si>
  <si>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</si>
  <si>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</si>
  <si>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</si>
  <si>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</si>
  <si>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</si>
  <si>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</si>
  <si>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</si>
  <si>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</si>
  <si>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</si>
  <si>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</si>
  <si>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</si>
  <si>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</si>
  <si>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</si>
  <si>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</si>
  <si>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</si>
  <si>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</si>
  <si>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</si>
  <si>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</si>
  <si>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</si>
  <si>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</si>
  <si>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</si>
  <si>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</si>
  <si>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</si>
  <si>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</si>
  <si>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</si>
  <si>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</si>
  <si>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</si>
  <si>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</si>
  <si>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</si>
  <si>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</si>
  <si>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</si>
  <si>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</si>
  <si>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</si>
  <si>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</si>
  <si>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</si>
  <si>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</si>
  <si>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</si>
  <si>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</si>
  <si>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</si>
  <si>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</si>
  <si>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</si>
  <si>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</si>
  <si>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</si>
  <si>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</si>
  <si>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</si>
  <si>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</si>
  <si>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</si>
  <si>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</si>
  <si>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</si>
  <si>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</si>
  <si>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</si>
  <si>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</si>
  <si>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</si>
  <si>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</si>
  <si>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</si>
  <si>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</si>
  <si>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</si>
  <si>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</si>
  <si>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</si>
  <si>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</si>
  <si>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</si>
  <si>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</si>
  <si>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</si>
  <si>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</si>
  <si>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</si>
  <si>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</si>
  <si>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</si>
  <si>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</si>
  <si>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</si>
  <si>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</si>
  <si>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</si>
  <si>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</si>
  <si>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</si>
  <si>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</si>
  <si>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</si>
  <si>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</si>
  <si>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</si>
  <si>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</si>
  <si>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</si>
  <si>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</si>
  <si>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</si>
  <si>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</si>
  <si>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</si>
  <si>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</si>
  <si>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</si>
  <si>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</si>
  <si>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</si>
  <si>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</si>
  <si>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</si>
  <si>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</si>
  <si>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</si>
  <si>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</si>
  <si>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</si>
  <si>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</si>
  <si>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</si>
  <si>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</si>
  <si>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</si>
  <si>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</si>
  <si>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</si>
  <si>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</si>
  <si>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</si>
  <si>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</si>
  <si>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</si>
  <si>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</si>
  <si>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</si>
  <si>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</si>
  <si>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</si>
  <si>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</si>
  <si>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</si>
  <si>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</si>
  <si>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</si>
  <si>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</si>
  <si>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</si>
  <si>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</si>
  <si>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</si>
  <si>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</si>
  <si>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</si>
  <si>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</si>
  <si>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</si>
  <si>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</si>
  <si>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</si>
  <si>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</si>
  <si>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</si>
  <si>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</si>
  <si>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</si>
  <si>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</si>
  <si>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</si>
  <si>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</si>
  <si>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</si>
  <si>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</si>
  <si>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</si>
  <si>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</si>
  <si>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</si>
  <si>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</si>
  <si>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</si>
  <si>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</si>
  <si>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</si>
  <si>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</si>
  <si>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</si>
  <si>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</si>
  <si>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</si>
  <si>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</si>
  <si>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</si>
  <si>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</si>
  <si>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</si>
  <si>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</si>
  <si>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</si>
  <si>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</si>
  <si>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</si>
  <si>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</si>
  <si>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</si>
  <si>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</si>
  <si>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</si>
  <si>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</si>
  <si>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</si>
  <si>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</si>
  <si>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</si>
  <si>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</si>
  <si>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</si>
  <si>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</si>
  <si>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</si>
  <si>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</si>
  <si>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</si>
  <si>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</si>
  <si>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</si>
  <si>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</si>
  <si>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</si>
  <si>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</si>
  <si>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</si>
  <si>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</si>
  <si>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</si>
  <si>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</si>
  <si>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</si>
  <si>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</si>
  <si>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</si>
  <si>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</si>
  <si>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</si>
  <si>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</si>
  <si>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</si>
  <si>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</si>
  <si>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</si>
  <si>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</si>
  <si>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</si>
  <si>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</si>
  <si>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</si>
  <si>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</si>
  <si>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</si>
  <si>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</si>
  <si>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</si>
  <si>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</si>
  <si>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</si>
  <si>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</si>
  <si>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</si>
  <si>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</si>
  <si>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</si>
  <si>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</si>
  <si>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</si>
  <si>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</si>
  <si>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</si>
  <si>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</si>
  <si>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</si>
  <si>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</si>
  <si>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</si>
  <si>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</si>
  <si>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</si>
  <si>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</si>
  <si>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</si>
  <si>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</si>
  <si>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</si>
  <si>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</si>
  <si>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</si>
  <si>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</si>
  <si>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</si>
  <si>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</si>
  <si>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</si>
  <si>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</si>
  <si>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</si>
  <si>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</si>
  <si>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</si>
  <si>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</si>
  <si>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</si>
  <si>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</si>
  <si>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</si>
  <si>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</si>
  <si>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</si>
  <si>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</si>
  <si>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</si>
  <si>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</si>
  <si>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</si>
  <si>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</si>
  <si>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</si>
  <si>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</si>
  <si>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</si>
  <si>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</si>
  <si>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</si>
  <si>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</si>
  <si>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</si>
  <si>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</si>
  <si>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</si>
  <si>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</si>
  <si>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</si>
  <si>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</si>
  <si>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</si>
  <si>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</si>
  <si>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</si>
  <si>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</si>
  <si>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</si>
  <si>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</si>
  <si>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</si>
  <si>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</si>
  <si>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</si>
  <si>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</si>
  <si>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</si>
  <si>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</si>
  <si>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</si>
  <si>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</si>
  <si>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</si>
  <si>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</si>
  <si>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</si>
  <si>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</si>
  <si>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</si>
  <si>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</si>
  <si>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</si>
  <si>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</si>
  <si>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</si>
  <si>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</si>
  <si>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</si>
  <si>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</si>
  <si>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</si>
  <si>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</si>
  <si>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</si>
  <si>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</si>
  <si>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</si>
  <si>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</si>
  <si>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</si>
  <si>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</si>
  <si>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</si>
  <si>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</si>
  <si>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</si>
  <si>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</si>
  <si>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</si>
  <si>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</si>
  <si>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</si>
  <si>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</si>
  <si>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</si>
  <si>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</si>
  <si>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</si>
  <si>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</si>
  <si>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</si>
  <si>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</si>
  <si>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</si>
  <si>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</si>
  <si>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</si>
  <si>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</si>
  <si>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</si>
  <si>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</si>
  <si>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</si>
  <si>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</si>
  <si>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</si>
  <si>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</si>
  <si>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</si>
  <si>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</si>
  <si>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</si>
  <si>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</si>
  <si>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</si>
  <si>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</si>
  <si>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</si>
  <si>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</si>
  <si>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</si>
  <si>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</si>
  <si>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</si>
  <si>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</si>
  <si>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</si>
  <si>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</si>
  <si>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</si>
  <si>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</si>
  <si>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</si>
  <si>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</si>
  <si>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</si>
  <si>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</si>
  <si>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</si>
  <si>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</si>
  <si>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</si>
  <si>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</si>
  <si>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</si>
  <si>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</si>
  <si>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</si>
  <si>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</si>
  <si>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</si>
  <si>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</si>
  <si>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</si>
  <si>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</si>
  <si>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</si>
  <si>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</si>
  <si>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</si>
  <si>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</si>
  <si>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</si>
  <si>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</si>
  <si>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</si>
  <si>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</si>
  <si>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</si>
  <si>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</si>
  <si>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</si>
  <si>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</si>
  <si>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</si>
  <si>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</si>
  <si>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</si>
  <si>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</si>
  <si>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</si>
  <si>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</si>
  <si>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</si>
  <si>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</si>
  <si>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</si>
  <si>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</si>
  <si>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</si>
  <si>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</si>
  <si>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</si>
  <si>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</si>
  <si>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</si>
  <si>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</si>
  <si>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</si>
  <si>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</si>
  <si>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</si>
  <si>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</si>
  <si>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</si>
  <si>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</si>
  <si>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</si>
  <si>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</si>
  <si>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</si>
  <si>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</si>
  <si>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</si>
  <si>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</si>
  <si>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</si>
  <si>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</si>
  <si>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</si>
  <si>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</si>
  <si>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</si>
  <si>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</si>
  <si>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</si>
  <si>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</si>
  <si>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</si>
  <si>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</si>
  <si>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</si>
  <si>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</si>
  <si>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</si>
  <si>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</si>
  <si>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</si>
  <si>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</si>
  <si>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</si>
  <si>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</si>
  <si>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</si>
  <si>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</si>
  <si>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</si>
  <si>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</si>
  <si>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</si>
  <si>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</si>
  <si>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</si>
  <si>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</si>
  <si>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</si>
  <si>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</si>
  <si>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</si>
  <si>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</si>
  <si>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</si>
  <si>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</si>
  <si>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</si>
  <si>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</si>
  <si>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</si>
  <si>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</si>
  <si>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</si>
  <si>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</si>
  <si>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</si>
  <si>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</si>
  <si>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</si>
  <si>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</si>
  <si>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</si>
  <si>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</si>
  <si>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</si>
  <si>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</si>
  <si>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</si>
  <si>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</si>
  <si>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</si>
  <si>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</si>
  <si>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</si>
  <si>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</si>
  <si>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</si>
  <si>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</si>
  <si>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</si>
  <si>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</si>
  <si>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</si>
  <si>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DE AGUA POTABLE Y ALCANTARILLADO DE MOROLEON</t>
  </si>
  <si>
    <t>Al 31 de diciembre de 2020 y al 31 de diciembre de 2021 (b)</t>
  </si>
  <si>
    <t>Del 1 de enero al 31 de diciembre de 2021 (b)</t>
  </si>
  <si>
    <t>3112-8101 SMAPAM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</si>
</sst>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workbookViewId="0">
      <selection activeCell="A65" sqref="A6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SISTEMA MUNICIPAL DE AGUA POTABLE Y ALCANTARILLADO DE MOROLEON,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2021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48556652</v>
      </c>
      <c r="C8" s="40">
        <f t="shared" ref="C8:D8" si="0">SUM(C9:C11)</f>
        <v>50637680.289999999</v>
      </c>
      <c r="D8" s="40">
        <f t="shared" si="0"/>
        <v>50637680.289999999</v>
      </c>
    </row>
    <row r="9" spans="1:11" x14ac:dyDescent="0.25">
      <c r="A9" s="53" t="s">
        <v>169</v>
      </c>
      <c r="B9" s="23">
        <v>48556652</v>
      </c>
      <c r="C9" s="23">
        <v>50637680.289999999</v>
      </c>
      <c r="D9" s="23">
        <v>50637680.289999999</v>
      </c>
    </row>
    <row r="10" spans="1:11" x14ac:dyDescent="0.25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25">
      <c r="A11" s="53" t="s">
        <v>171</v>
      </c>
      <c r="B11" s="23">
        <v>0</v>
      </c>
      <c r="C11" s="23">
        <v>0</v>
      </c>
      <c r="D11" s="23"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48556652</v>
      </c>
      <c r="C13" s="40">
        <f t="shared" ref="C13:D13" si="1">C14+C15</f>
        <v>52740446.43</v>
      </c>
      <c r="D13" s="40">
        <f t="shared" si="1"/>
        <v>52137458.990000002</v>
      </c>
    </row>
    <row r="14" spans="1:11" x14ac:dyDescent="0.25">
      <c r="A14" s="53" t="s">
        <v>172</v>
      </c>
      <c r="B14" s="23">
        <v>48556652</v>
      </c>
      <c r="C14" s="23">
        <v>52740446.43</v>
      </c>
      <c r="D14" s="23">
        <v>52137458.990000002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12765164.210000001</v>
      </c>
      <c r="D17" s="40">
        <f>D18+D19</f>
        <v>12765164.210000001</v>
      </c>
    </row>
    <row r="18" spans="1:4" x14ac:dyDescent="0.25">
      <c r="A18" s="53" t="s">
        <v>175</v>
      </c>
      <c r="B18" s="119">
        <v>0</v>
      </c>
      <c r="C18" s="23">
        <v>12765164.210000001</v>
      </c>
      <c r="D18" s="23">
        <v>12765164.210000001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10662398.07</v>
      </c>
      <c r="D21" s="40">
        <f t="shared" si="3"/>
        <v>11265385.509999998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4">C21-C11</f>
        <v>10662398.07</v>
      </c>
      <c r="D23" s="40">
        <f t="shared" si="4"/>
        <v>11265385.509999998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5">C23-C17</f>
        <v>-2102766.1400000006</v>
      </c>
      <c r="D25" s="40">
        <f>D23-D17</f>
        <v>-1499778.700000003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-2102766.1400000006</v>
      </c>
      <c r="D33" s="61">
        <f t="shared" si="7"/>
        <v>-1499778.700000003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48556652</v>
      </c>
      <c r="C48" s="124">
        <f>C9</f>
        <v>50637680.289999999</v>
      </c>
      <c r="D48" s="124">
        <f t="shared" ref="D48" si="11">D9</f>
        <v>50637680.289999999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48556652</v>
      </c>
      <c r="C53" s="60">
        <f t="shared" ref="C53:D53" si="13">C14</f>
        <v>52740446.43</v>
      </c>
      <c r="D53" s="60">
        <f t="shared" si="13"/>
        <v>52137458.990000002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12765164.210000001</v>
      </c>
      <c r="D55" s="60">
        <f t="shared" si="14"/>
        <v>12765164.210000001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10662398.07</v>
      </c>
      <c r="D57" s="61">
        <f t="shared" ref="D57" si="15">D48+D49-D53+D55</f>
        <v>11265385.509999998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10662398.07</v>
      </c>
      <c r="D59" s="61">
        <f t="shared" si="16"/>
        <v>11265385.509999998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48556652</v>
      </c>
      <c r="Q2" s="18">
        <f>'Formato 4'!C8</f>
        <v>50637680.289999999</v>
      </c>
      <c r="R2" s="18">
        <f>'Formato 4'!D8</f>
        <v>50637680.289999999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48556652</v>
      </c>
      <c r="Q3" s="18">
        <f>'Formato 4'!C9</f>
        <v>50637680.289999999</v>
      </c>
      <c r="R3" s="18">
        <f>'Formato 4'!D9</f>
        <v>50637680.289999999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48556652</v>
      </c>
      <c r="Q6" s="18">
        <f>'Formato 4'!C13</f>
        <v>52740446.43</v>
      </c>
      <c r="R6" s="18">
        <f>'Formato 4'!D13</f>
        <v>52137458.990000002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48556652</v>
      </c>
      <c r="Q7" s="18">
        <f>'Formato 4'!C14</f>
        <v>52740446.43</v>
      </c>
      <c r="R7" s="18">
        <f>'Formato 4'!D14</f>
        <v>52137458.990000002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12765164.210000001</v>
      </c>
      <c r="R9" s="18">
        <f>'Formato 4'!D17</f>
        <v>12765164.210000001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12765164.210000001</v>
      </c>
      <c r="R10" s="18">
        <f>'Formato 4'!D18</f>
        <v>12765164.210000001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10662398.07</v>
      </c>
      <c r="R12" s="18">
        <f>'Formato 4'!D21</f>
        <v>11265385.509999998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10662398.07</v>
      </c>
      <c r="R13" s="18">
        <f>'Formato 4'!D23</f>
        <v>11265385.509999998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-2102766.1400000006</v>
      </c>
      <c r="R14" s="18">
        <f>'Formato 4'!D25</f>
        <v>-1499778.700000003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-2102766.1400000006</v>
      </c>
      <c r="R18">
        <f>'Formato 4'!D33</f>
        <v>-1499778.700000003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48556652</v>
      </c>
      <c r="Q26">
        <f>'Formato 4'!C48</f>
        <v>50637680.289999999</v>
      </c>
      <c r="R26">
        <f>'Formato 4'!D48</f>
        <v>50637680.289999999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48556652</v>
      </c>
      <c r="Q30">
        <f>'Formato 4'!C53</f>
        <v>52740446.43</v>
      </c>
      <c r="R30">
        <f>'Formato 4'!D53</f>
        <v>52137458.990000002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12765164.210000001</v>
      </c>
      <c r="R31">
        <f>'Formato 4'!D55</f>
        <v>12765164.210000001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A60" zoomScale="85" zoomScaleNormal="85" workbookViewId="0">
      <selection activeCell="A76" sqref="A7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SISTEMA MUNICIPAL DE AGUA POTABLE Y ALCANTARILLADO DE MOROLEON,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2021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8" x14ac:dyDescent="0.25">
      <c r="A13" s="53" t="s">
        <v>220</v>
      </c>
      <c r="B13" s="60">
        <v>1096020</v>
      </c>
      <c r="C13" s="60">
        <v>387442.93</v>
      </c>
      <c r="D13" s="60">
        <v>1483462.93</v>
      </c>
      <c r="E13" s="60">
        <v>1483462.93</v>
      </c>
      <c r="F13" s="60">
        <v>1483462.93</v>
      </c>
      <c r="G13" s="60">
        <v>387442.92999999993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8" x14ac:dyDescent="0.25">
      <c r="A15" s="53" t="s">
        <v>222</v>
      </c>
      <c r="B15" s="60">
        <v>41060632</v>
      </c>
      <c r="C15" s="60">
        <v>5978824.3600000003</v>
      </c>
      <c r="D15" s="60">
        <v>47039456.359999999</v>
      </c>
      <c r="E15" s="60">
        <v>47039456.359999999</v>
      </c>
      <c r="F15" s="60">
        <v>47039456.359999999</v>
      </c>
      <c r="G15" s="60">
        <v>5978824.3599999994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>
        <f>F17-B17</f>
        <v>0</v>
      </c>
    </row>
    <row r="18" spans="1:7" x14ac:dyDescent="0.25">
      <c r="A18" s="63" t="s">
        <v>224</v>
      </c>
      <c r="B18" s="60"/>
      <c r="C18" s="60"/>
      <c r="D18" s="60"/>
      <c r="E18" s="60"/>
      <c r="F18" s="60"/>
      <c r="G18" s="60">
        <f t="shared" ref="G18:G27" si="1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1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1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1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1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1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1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1"/>
        <v>0</v>
      </c>
    </row>
    <row r="26" spans="1:7" x14ac:dyDescent="0.25">
      <c r="A26" s="63" t="s">
        <v>232</v>
      </c>
      <c r="B26" s="60"/>
      <c r="C26" s="60"/>
      <c r="D26" s="60"/>
      <c r="E26" s="60"/>
      <c r="F26" s="60"/>
      <c r="G26" s="60">
        <f t="shared" si="1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>
        <f>F29-B29</f>
        <v>0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>F30-B30</f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3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3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3"/>
        <v>0</v>
      </c>
    </row>
    <row r="34" spans="1:8" x14ac:dyDescent="0.25">
      <c r="A34" s="53" t="s">
        <v>240</v>
      </c>
      <c r="B34" s="60">
        <v>6400000</v>
      </c>
      <c r="C34" s="60">
        <v>-4285239</v>
      </c>
      <c r="D34" s="60">
        <v>2114761</v>
      </c>
      <c r="E34" s="60">
        <v>2114761</v>
      </c>
      <c r="F34" s="60">
        <v>2114761</v>
      </c>
      <c r="G34" s="60">
        <f t="shared" si="3"/>
        <v>-4285239</v>
      </c>
    </row>
    <row r="35" spans="1:8" x14ac:dyDescent="0.25">
      <c r="A35" s="53" t="s">
        <v>241</v>
      </c>
      <c r="B35" s="60">
        <f>B36</f>
        <v>0</v>
      </c>
      <c r="C35" s="60">
        <f t="shared" ref="C35:F35" si="4">C36</f>
        <v>0</v>
      </c>
      <c r="D35" s="60">
        <f t="shared" si="4"/>
        <v>0</v>
      </c>
      <c r="E35" s="60">
        <f t="shared" si="4"/>
        <v>0</v>
      </c>
      <c r="F35" s="60">
        <f t="shared" si="4"/>
        <v>0</v>
      </c>
      <c r="G35" s="60">
        <f>G36</f>
        <v>0</v>
      </c>
    </row>
    <row r="36" spans="1:8" x14ac:dyDescent="0.25">
      <c r="A36" s="63" t="s">
        <v>242</v>
      </c>
      <c r="B36" s="60"/>
      <c r="C36" s="60"/>
      <c r="D36" s="60"/>
      <c r="E36" s="60"/>
      <c r="F36" s="60"/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48556652</v>
      </c>
      <c r="C41" s="61">
        <f t="shared" ref="C41:E41" si="6">SUM(C9,C10,C11,C12,C13,C14,C15,C16,C28,C34,C35,C37)</f>
        <v>2081028.29</v>
      </c>
      <c r="D41" s="61">
        <f t="shared" si="6"/>
        <v>50637680.289999999</v>
      </c>
      <c r="E41" s="61">
        <f t="shared" si="6"/>
        <v>50637680.289999999</v>
      </c>
      <c r="F41" s="61">
        <f>SUM(F9,F10,F11,F12,F13,F14,F15,F16,F28,F34,F35,F37)</f>
        <v>50637680.289999999</v>
      </c>
      <c r="G41" s="61">
        <f>SUM(G9,G10,G11,G12,G13,G14,G15,G16,G28,G34,G35,G37)</f>
        <v>2081028.2899999991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2081028.2899999991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>
        <f>F46-B46</f>
        <v>0</v>
      </c>
    </row>
    <row r="47" spans="1:8" x14ac:dyDescent="0.25">
      <c r="A47" s="69" t="s">
        <v>250</v>
      </c>
      <c r="B47" s="60"/>
      <c r="C47" s="60"/>
      <c r="D47" s="60"/>
      <c r="E47" s="60"/>
      <c r="F47" s="60"/>
      <c r="G47" s="60">
        <f t="shared" ref="G47:G53" si="8">F47-B47</f>
        <v>0</v>
      </c>
    </row>
    <row r="48" spans="1:8" x14ac:dyDescent="0.25">
      <c r="A48" s="69" t="s">
        <v>251</v>
      </c>
      <c r="B48" s="60"/>
      <c r="C48" s="60"/>
      <c r="D48" s="60"/>
      <c r="E48" s="60"/>
      <c r="F48" s="60"/>
      <c r="G48" s="60">
        <f t="shared" si="8"/>
        <v>0</v>
      </c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>
        <f t="shared" si="8"/>
        <v>0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8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8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8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10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10"/>
        <v>0</v>
      </c>
    </row>
    <row r="58" spans="1:7" x14ac:dyDescent="0.25">
      <c r="A58" s="48" t="s">
        <v>261</v>
      </c>
      <c r="B58" s="60"/>
      <c r="C58" s="60"/>
      <c r="D58" s="60"/>
      <c r="E58" s="60"/>
      <c r="F58" s="60"/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12765164.210000001</v>
      </c>
      <c r="D67" s="61">
        <f t="shared" si="13"/>
        <v>12765164.210000001</v>
      </c>
      <c r="E67" s="61">
        <f t="shared" si="13"/>
        <v>12765164.210000001</v>
      </c>
      <c r="F67" s="61">
        <f t="shared" si="13"/>
        <v>12765164.210000001</v>
      </c>
      <c r="G67" s="61">
        <f t="shared" si="13"/>
        <v>12765164.210000001</v>
      </c>
    </row>
    <row r="68" spans="1:7" x14ac:dyDescent="0.25">
      <c r="A68" s="53" t="s">
        <v>269</v>
      </c>
      <c r="B68" s="60">
        <f>+B75</f>
        <v>0</v>
      </c>
      <c r="C68" s="60">
        <f>+C75</f>
        <v>12765164.210000001</v>
      </c>
      <c r="D68" s="60">
        <f>+D75</f>
        <v>12765164.210000001</v>
      </c>
      <c r="E68" s="60">
        <f>+E75</f>
        <v>12765164.210000001</v>
      </c>
      <c r="F68" s="60">
        <f>+F75</f>
        <v>12765164.210000001</v>
      </c>
      <c r="G68" s="60">
        <f>F68-B68</f>
        <v>12765164.210000001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48556652</v>
      </c>
      <c r="C70" s="61">
        <f t="shared" ref="C70:G70" si="14">C41+C65+C67</f>
        <v>14846192.5</v>
      </c>
      <c r="D70" s="61">
        <f t="shared" si="14"/>
        <v>63402844.5</v>
      </c>
      <c r="E70" s="61">
        <f t="shared" si="14"/>
        <v>63402844.5</v>
      </c>
      <c r="F70" s="61">
        <f t="shared" si="14"/>
        <v>63402844.5</v>
      </c>
      <c r="G70" s="61">
        <f t="shared" si="14"/>
        <v>14846192.5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12765164.210000001</v>
      </c>
      <c r="D73" s="60">
        <v>12765164.210000001</v>
      </c>
      <c r="E73" s="60">
        <v>12765164.210000001</v>
      </c>
      <c r="F73" s="60">
        <v>12765164.210000001</v>
      </c>
      <c r="G73" s="60">
        <f>F73-B73</f>
        <v>12765164.210000001</v>
      </c>
    </row>
    <row r="74" spans="1:7" ht="30" x14ac:dyDescent="0.25">
      <c r="A74" s="130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5">C73+C74</f>
        <v>12765164.210000001</v>
      </c>
      <c r="D75" s="61">
        <f t="shared" si="15"/>
        <v>12765164.210000001</v>
      </c>
      <c r="E75" s="61">
        <f t="shared" si="15"/>
        <v>12765164.210000001</v>
      </c>
      <c r="F75" s="61">
        <f t="shared" si="15"/>
        <v>12765164.210000001</v>
      </c>
      <c r="G75" s="61">
        <f t="shared" si="15"/>
        <v>12765164.210000001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1096020</v>
      </c>
      <c r="Q7" s="18">
        <f>'Formato 5'!C13</f>
        <v>387442.93</v>
      </c>
      <c r="R7" s="18">
        <f>'Formato 5'!D13</f>
        <v>1483462.93</v>
      </c>
      <c r="S7" s="18">
        <f>'Formato 5'!E13</f>
        <v>1483462.93</v>
      </c>
      <c r="T7" s="18">
        <f>'Formato 5'!F13</f>
        <v>1483462.93</v>
      </c>
      <c r="U7" s="18">
        <f>'Formato 5'!G13</f>
        <v>387442.92999999993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41060632</v>
      </c>
      <c r="Q9" s="18">
        <f>'Formato 5'!C15</f>
        <v>5978824.3600000003</v>
      </c>
      <c r="R9" s="18">
        <f>'Formato 5'!D15</f>
        <v>47039456.359999999</v>
      </c>
      <c r="S9" s="18">
        <f>'Formato 5'!E15</f>
        <v>47039456.359999999</v>
      </c>
      <c r="T9" s="18">
        <f>'Formato 5'!F15</f>
        <v>47039456.359999999</v>
      </c>
      <c r="U9" s="18">
        <f>'Formato 5'!G15</f>
        <v>5978824.3599999994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6400000</v>
      </c>
      <c r="Q28" s="18">
        <f>'Formato 5'!C34</f>
        <v>-4285239</v>
      </c>
      <c r="R28" s="18">
        <f>'Formato 5'!D34</f>
        <v>2114761</v>
      </c>
      <c r="S28" s="18">
        <f>'Formato 5'!E34</f>
        <v>2114761</v>
      </c>
      <c r="T28" s="18">
        <f>'Formato 5'!F34</f>
        <v>2114761</v>
      </c>
      <c r="U28" s="18">
        <f>'Formato 5'!G34</f>
        <v>-4285239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48556652</v>
      </c>
      <c r="Q34">
        <f>'Formato 5'!C41</f>
        <v>2081028.29</v>
      </c>
      <c r="R34">
        <f>'Formato 5'!D41</f>
        <v>50637680.289999999</v>
      </c>
      <c r="S34">
        <f>'Formato 5'!E41</f>
        <v>50637680.289999999</v>
      </c>
      <c r="T34">
        <f>'Formato 5'!F41</f>
        <v>50637680.289999999</v>
      </c>
      <c r="U34">
        <f>'Formato 5'!G41</f>
        <v>2081028.2899999991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2081028.2899999991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12765164.210000001</v>
      </c>
      <c r="R57">
        <f>'Formato 5'!D67</f>
        <v>12765164.210000001</v>
      </c>
      <c r="S57">
        <f>'Formato 5'!E67</f>
        <v>12765164.210000001</v>
      </c>
      <c r="T57">
        <f>'Formato 5'!F67</f>
        <v>12765164.210000001</v>
      </c>
      <c r="U57">
        <f>'Formato 5'!G67</f>
        <v>12765164.210000001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12765164.210000001</v>
      </c>
      <c r="R58">
        <f>'Formato 5'!D68</f>
        <v>12765164.210000001</v>
      </c>
      <c r="S58">
        <f>'Formato 5'!E68</f>
        <v>12765164.210000001</v>
      </c>
      <c r="T58">
        <f>'Formato 5'!F68</f>
        <v>12765164.210000001</v>
      </c>
      <c r="U58">
        <f>'Formato 5'!G68</f>
        <v>12765164.210000001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12765164.210000001</v>
      </c>
      <c r="R60">
        <f>'Formato 5'!D73</f>
        <v>12765164.210000001</v>
      </c>
      <c r="S60">
        <f>'Formato 5'!E73</f>
        <v>12765164.210000001</v>
      </c>
      <c r="T60">
        <f>'Formato 5'!F73</f>
        <v>12765164.210000001</v>
      </c>
      <c r="U60">
        <f>'Formato 5'!G73</f>
        <v>12765164.210000001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12765164.210000001</v>
      </c>
      <c r="R62">
        <f>'Formato 5'!D75</f>
        <v>12765164.210000001</v>
      </c>
      <c r="S62">
        <f>'Formato 5'!E75</f>
        <v>12765164.210000001</v>
      </c>
      <c r="T62">
        <f>'Formato 5'!F75</f>
        <v>12765164.210000001</v>
      </c>
      <c r="U62">
        <f>'Formato 5'!G75</f>
        <v>12765164.210000001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20" zoomScaleNormal="120" zoomScalePageLayoutView="90" workbookViewId="0">
      <selection activeCell="A160" sqref="A160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SISTEMA MUNICIPAL DE AGUA POTABLE Y ALCANTARILLADO DE MOROLEON,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2021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x14ac:dyDescent="0.25">
      <c r="A9" s="82" t="s">
        <v>285</v>
      </c>
      <c r="B9" s="79">
        <f>SUM(B10,B18,B28,B38,B48,B58,B62,B71,B75)</f>
        <v>48556652</v>
      </c>
      <c r="C9" s="79">
        <f t="shared" ref="C9:G9" si="0">SUM(C10,C18,C28,C38,C48,C58,C62,C71,C75)</f>
        <v>14846192.5</v>
      </c>
      <c r="D9" s="79">
        <f t="shared" si="0"/>
        <v>63402844.500000007</v>
      </c>
      <c r="E9" s="79">
        <f t="shared" si="0"/>
        <v>52740446.43</v>
      </c>
      <c r="F9" s="79">
        <f t="shared" si="0"/>
        <v>52137458.989999995</v>
      </c>
      <c r="G9" s="79">
        <f t="shared" si="0"/>
        <v>10662398.07</v>
      </c>
    </row>
    <row r="10" spans="1:7" x14ac:dyDescent="0.25">
      <c r="A10" s="83" t="s">
        <v>286</v>
      </c>
      <c r="B10" s="80">
        <f>SUM(B11:B17)</f>
        <v>17225075</v>
      </c>
      <c r="C10" s="80">
        <f t="shared" ref="C10:F10" si="1">SUM(C11:C17)</f>
        <v>0</v>
      </c>
      <c r="D10" s="80">
        <f t="shared" si="1"/>
        <v>17225075</v>
      </c>
      <c r="E10" s="80">
        <f t="shared" si="1"/>
        <v>13322492.819999998</v>
      </c>
      <c r="F10" s="80">
        <f t="shared" si="1"/>
        <v>13322492.819999998</v>
      </c>
      <c r="G10" s="80">
        <f>SUM(G11:G17)</f>
        <v>3902582.1800000006</v>
      </c>
    </row>
    <row r="11" spans="1:7" x14ac:dyDescent="0.25">
      <c r="A11" s="84" t="s">
        <v>287</v>
      </c>
      <c r="B11" s="80">
        <v>10119755</v>
      </c>
      <c r="C11" s="80">
        <v>402016</v>
      </c>
      <c r="D11" s="80">
        <v>10521771</v>
      </c>
      <c r="E11" s="80">
        <v>9232867.0299999993</v>
      </c>
      <c r="F11" s="80">
        <v>9232867.0299999993</v>
      </c>
      <c r="G11" s="80">
        <f>D11-E11</f>
        <v>1288903.9700000007</v>
      </c>
    </row>
    <row r="12" spans="1:7" x14ac:dyDescent="0.25">
      <c r="A12" s="84" t="s">
        <v>288</v>
      </c>
      <c r="B12" s="80"/>
      <c r="C12" s="80"/>
      <c r="D12" s="80">
        <v>0</v>
      </c>
      <c r="E12" s="80"/>
      <c r="F12" s="80"/>
      <c r="G12" s="80">
        <f>D12-E12</f>
        <v>0</v>
      </c>
    </row>
    <row r="13" spans="1:7" x14ac:dyDescent="0.25">
      <c r="A13" s="84" t="s">
        <v>289</v>
      </c>
      <c r="B13" s="80">
        <v>2474609</v>
      </c>
      <c r="C13" s="80">
        <v>56972</v>
      </c>
      <c r="D13" s="80">
        <v>2531581</v>
      </c>
      <c r="E13" s="80">
        <v>1493097.81</v>
      </c>
      <c r="F13" s="80">
        <v>1493097.81</v>
      </c>
      <c r="G13" s="80">
        <f t="shared" ref="G13:G17" si="2">D13-E13</f>
        <v>1038483.19</v>
      </c>
    </row>
    <row r="14" spans="1:7" x14ac:dyDescent="0.25">
      <c r="A14" s="84" t="s">
        <v>290</v>
      </c>
      <c r="B14" s="80">
        <v>2765602</v>
      </c>
      <c r="C14" s="80">
        <v>107656</v>
      </c>
      <c r="D14" s="80">
        <v>2873258</v>
      </c>
      <c r="E14" s="80">
        <v>2152400.13</v>
      </c>
      <c r="F14" s="80">
        <v>2152400.13</v>
      </c>
      <c r="G14" s="80">
        <f t="shared" si="2"/>
        <v>720857.87000000011</v>
      </c>
    </row>
    <row r="15" spans="1:7" x14ac:dyDescent="0.25">
      <c r="A15" s="84" t="s">
        <v>291</v>
      </c>
      <c r="B15" s="80">
        <v>1077627</v>
      </c>
      <c r="C15" s="80">
        <v>11400</v>
      </c>
      <c r="D15" s="80">
        <v>1089027</v>
      </c>
      <c r="E15" s="80">
        <v>444127.85</v>
      </c>
      <c r="F15" s="80">
        <v>444127.85</v>
      </c>
      <c r="G15" s="80">
        <f t="shared" si="2"/>
        <v>644899.15</v>
      </c>
    </row>
    <row r="16" spans="1:7" x14ac:dyDescent="0.25">
      <c r="A16" s="84" t="s">
        <v>292</v>
      </c>
      <c r="B16" s="80">
        <v>787482</v>
      </c>
      <c r="C16" s="80">
        <v>-578044</v>
      </c>
      <c r="D16" s="80">
        <v>209438</v>
      </c>
      <c r="E16" s="80">
        <v>0</v>
      </c>
      <c r="F16" s="80">
        <v>0</v>
      </c>
      <c r="G16" s="80">
        <f t="shared" si="2"/>
        <v>209438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x14ac:dyDescent="0.25">
      <c r="A18" s="83" t="s">
        <v>294</v>
      </c>
      <c r="B18" s="80">
        <f>SUM(B19:B27)</f>
        <v>4336523</v>
      </c>
      <c r="C18" s="80">
        <f t="shared" ref="C18:F18" si="3">SUM(C19:C27)</f>
        <v>193215.48</v>
      </c>
      <c r="D18" s="80">
        <f t="shared" si="3"/>
        <v>4529738.4800000004</v>
      </c>
      <c r="E18" s="80">
        <f t="shared" si="3"/>
        <v>3165070.42</v>
      </c>
      <c r="F18" s="80">
        <f t="shared" si="3"/>
        <v>3165070.42</v>
      </c>
      <c r="G18" s="80">
        <f>SUM(G19:G27)</f>
        <v>1364668.06</v>
      </c>
    </row>
    <row r="19" spans="1:7" x14ac:dyDescent="0.25">
      <c r="A19" s="84" t="s">
        <v>295</v>
      </c>
      <c r="B19" s="80">
        <v>294391</v>
      </c>
      <c r="C19" s="80">
        <v>80971.509999999995</v>
      </c>
      <c r="D19" s="80">
        <v>375362.51</v>
      </c>
      <c r="E19" s="80">
        <v>176731</v>
      </c>
      <c r="F19" s="80">
        <v>176731</v>
      </c>
      <c r="G19" s="80">
        <f>D19-E19</f>
        <v>198631.51</v>
      </c>
    </row>
    <row r="20" spans="1:7" x14ac:dyDescent="0.25">
      <c r="A20" s="84" t="s">
        <v>296</v>
      </c>
      <c r="B20" s="80">
        <v>71783</v>
      </c>
      <c r="C20" s="80">
        <v>18281.37</v>
      </c>
      <c r="D20" s="80">
        <v>90064.37</v>
      </c>
      <c r="E20" s="80">
        <v>34143.870000000003</v>
      </c>
      <c r="F20" s="80">
        <v>34143.870000000003</v>
      </c>
      <c r="G20" s="80">
        <f t="shared" ref="G20:G27" si="4">D20-E20</f>
        <v>55920.499999999993</v>
      </c>
    </row>
    <row r="21" spans="1:7" x14ac:dyDescent="0.25">
      <c r="A21" s="84" t="s">
        <v>297</v>
      </c>
      <c r="B21" s="80"/>
      <c r="C21" s="80"/>
      <c r="D21" s="80">
        <v>0</v>
      </c>
      <c r="E21" s="80"/>
      <c r="F21" s="80"/>
      <c r="G21" s="80">
        <f t="shared" si="4"/>
        <v>0</v>
      </c>
    </row>
    <row r="22" spans="1:7" x14ac:dyDescent="0.25">
      <c r="A22" s="84" t="s">
        <v>298</v>
      </c>
      <c r="B22" s="80">
        <v>3266238</v>
      </c>
      <c r="C22" s="80">
        <v>-102428.3</v>
      </c>
      <c r="D22" s="80">
        <v>3163809.7</v>
      </c>
      <c r="E22" s="80">
        <v>2402428.52</v>
      </c>
      <c r="F22" s="80">
        <v>2402428.52</v>
      </c>
      <c r="G22" s="80">
        <f t="shared" si="4"/>
        <v>761381.18000000017</v>
      </c>
    </row>
    <row r="23" spans="1:7" x14ac:dyDescent="0.25">
      <c r="A23" s="84" t="s">
        <v>299</v>
      </c>
      <c r="B23" s="80">
        <v>20623</v>
      </c>
      <c r="C23" s="80">
        <v>8045.08</v>
      </c>
      <c r="D23" s="80">
        <v>28668.080000000002</v>
      </c>
      <c r="E23" s="80">
        <v>1048.25</v>
      </c>
      <c r="F23" s="80">
        <v>1048.25</v>
      </c>
      <c r="G23" s="80">
        <f t="shared" si="4"/>
        <v>27619.83</v>
      </c>
    </row>
    <row r="24" spans="1:7" x14ac:dyDescent="0.25">
      <c r="A24" s="84" t="s">
        <v>300</v>
      </c>
      <c r="B24" s="80">
        <v>413569</v>
      </c>
      <c r="C24" s="80">
        <v>119604.08</v>
      </c>
      <c r="D24" s="80">
        <v>533173.07999999996</v>
      </c>
      <c r="E24" s="80">
        <v>418911.81</v>
      </c>
      <c r="F24" s="80">
        <v>418911.81</v>
      </c>
      <c r="G24" s="80">
        <f t="shared" si="4"/>
        <v>114261.26999999996</v>
      </c>
    </row>
    <row r="25" spans="1:7" x14ac:dyDescent="0.25">
      <c r="A25" s="84" t="s">
        <v>301</v>
      </c>
      <c r="B25" s="80">
        <v>152662</v>
      </c>
      <c r="C25" s="80">
        <v>38879.26</v>
      </c>
      <c r="D25" s="80">
        <v>191541.26</v>
      </c>
      <c r="E25" s="80">
        <v>98875.59</v>
      </c>
      <c r="F25" s="80">
        <v>98875.59</v>
      </c>
      <c r="G25" s="80">
        <f t="shared" si="4"/>
        <v>92665.670000000013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117257</v>
      </c>
      <c r="C27" s="80">
        <v>29862.48</v>
      </c>
      <c r="D27" s="80">
        <v>147119.48000000001</v>
      </c>
      <c r="E27" s="80">
        <v>32931.379999999997</v>
      </c>
      <c r="F27" s="80">
        <v>32931.379999999997</v>
      </c>
      <c r="G27" s="80">
        <f t="shared" si="4"/>
        <v>114188.1</v>
      </c>
    </row>
    <row r="28" spans="1:7" x14ac:dyDescent="0.25">
      <c r="A28" s="83" t="s">
        <v>304</v>
      </c>
      <c r="B28" s="80">
        <f>SUM(B29:B37)</f>
        <v>21678786</v>
      </c>
      <c r="C28" s="80">
        <f t="shared" ref="C28:G28" si="5">SUM(C29:C37)</f>
        <v>5691905.9199999999</v>
      </c>
      <c r="D28" s="80">
        <f t="shared" si="5"/>
        <v>27370691.920000002</v>
      </c>
      <c r="E28" s="80">
        <f t="shared" si="5"/>
        <v>21997587.98</v>
      </c>
      <c r="F28" s="80">
        <f t="shared" si="5"/>
        <v>21997587.98</v>
      </c>
      <c r="G28" s="80">
        <f t="shared" si="5"/>
        <v>5373103.9400000004</v>
      </c>
    </row>
    <row r="29" spans="1:7" x14ac:dyDescent="0.25">
      <c r="A29" s="84" t="s">
        <v>305</v>
      </c>
      <c r="B29" s="80">
        <v>10299073</v>
      </c>
      <c r="C29" s="80">
        <v>1436495.22</v>
      </c>
      <c r="D29" s="80">
        <v>11735568.220000001</v>
      </c>
      <c r="E29" s="80">
        <v>10742632.949999999</v>
      </c>
      <c r="F29" s="80">
        <v>10742632.949999999</v>
      </c>
      <c r="G29" s="80">
        <f>D29-E29</f>
        <v>992935.27000000142</v>
      </c>
    </row>
    <row r="30" spans="1:7" x14ac:dyDescent="0.25">
      <c r="A30" s="84" t="s">
        <v>306</v>
      </c>
      <c r="B30" s="80"/>
      <c r="C30" s="80"/>
      <c r="D30" s="80">
        <v>0</v>
      </c>
      <c r="E30" s="80"/>
      <c r="F30" s="80"/>
      <c r="G30" s="80">
        <f t="shared" ref="G30:G37" si="6">D30-E30</f>
        <v>0</v>
      </c>
    </row>
    <row r="31" spans="1:7" x14ac:dyDescent="0.25">
      <c r="A31" s="84" t="s">
        <v>307</v>
      </c>
      <c r="B31" s="80">
        <v>697771</v>
      </c>
      <c r="C31" s="80">
        <v>270344.12</v>
      </c>
      <c r="D31" s="80">
        <v>968115.12</v>
      </c>
      <c r="E31" s="80">
        <v>337485.81</v>
      </c>
      <c r="F31" s="80">
        <v>337485.81</v>
      </c>
      <c r="G31" s="80">
        <f t="shared" si="6"/>
        <v>630629.31000000006</v>
      </c>
    </row>
    <row r="32" spans="1:7" x14ac:dyDescent="0.25">
      <c r="A32" s="84" t="s">
        <v>308</v>
      </c>
      <c r="B32" s="80">
        <v>364745</v>
      </c>
      <c r="C32" s="80">
        <v>130689.96</v>
      </c>
      <c r="D32" s="80">
        <v>495434.96</v>
      </c>
      <c r="E32" s="80">
        <v>105223.22</v>
      </c>
      <c r="F32" s="80">
        <v>105223.22</v>
      </c>
      <c r="G32" s="80">
        <f t="shared" si="6"/>
        <v>390211.74</v>
      </c>
    </row>
    <row r="33" spans="1:7" x14ac:dyDescent="0.25">
      <c r="A33" s="84" t="s">
        <v>309</v>
      </c>
      <c r="B33" s="80">
        <v>4584559</v>
      </c>
      <c r="C33" s="80">
        <v>2455978.09</v>
      </c>
      <c r="D33" s="80">
        <v>7040537.0899999999</v>
      </c>
      <c r="E33" s="80">
        <v>5365417.08</v>
      </c>
      <c r="F33" s="80">
        <v>5365417.08</v>
      </c>
      <c r="G33" s="80">
        <f t="shared" si="6"/>
        <v>1675120.0099999998</v>
      </c>
    </row>
    <row r="34" spans="1:7" x14ac:dyDescent="0.25">
      <c r="A34" s="84" t="s">
        <v>310</v>
      </c>
      <c r="B34" s="80">
        <v>260946</v>
      </c>
      <c r="C34" s="80">
        <v>98892.41</v>
      </c>
      <c r="D34" s="80">
        <v>359838.41000000003</v>
      </c>
      <c r="E34" s="80">
        <v>41242.07</v>
      </c>
      <c r="F34" s="80">
        <v>41242.07</v>
      </c>
      <c r="G34" s="80">
        <f t="shared" si="6"/>
        <v>318596.34000000003</v>
      </c>
    </row>
    <row r="35" spans="1:7" x14ac:dyDescent="0.25">
      <c r="A35" s="84" t="s">
        <v>311</v>
      </c>
      <c r="B35" s="80">
        <v>139958</v>
      </c>
      <c r="C35" s="80">
        <v>35643.870000000003</v>
      </c>
      <c r="D35" s="80">
        <v>175601.87</v>
      </c>
      <c r="E35" s="80">
        <v>9468.69</v>
      </c>
      <c r="F35" s="80">
        <v>9468.69</v>
      </c>
      <c r="G35" s="80">
        <f t="shared" si="6"/>
        <v>166133.18</v>
      </c>
    </row>
    <row r="36" spans="1:7" x14ac:dyDescent="0.25">
      <c r="A36" s="84" t="s">
        <v>312</v>
      </c>
      <c r="B36" s="80">
        <v>120629</v>
      </c>
      <c r="C36" s="80">
        <v>30721.24</v>
      </c>
      <c r="D36" s="80">
        <v>151350.24</v>
      </c>
      <c r="E36" s="80">
        <v>33898.43</v>
      </c>
      <c r="F36" s="80">
        <v>33898.43</v>
      </c>
      <c r="G36" s="80">
        <f t="shared" si="6"/>
        <v>117451.81</v>
      </c>
    </row>
    <row r="37" spans="1:7" x14ac:dyDescent="0.25">
      <c r="A37" s="84" t="s">
        <v>313</v>
      </c>
      <c r="B37" s="80">
        <v>5211105</v>
      </c>
      <c r="C37" s="80">
        <v>1233141.01</v>
      </c>
      <c r="D37" s="80">
        <v>6444246.0099999998</v>
      </c>
      <c r="E37" s="80">
        <v>5362219.7300000004</v>
      </c>
      <c r="F37" s="80">
        <v>5362219.7300000004</v>
      </c>
      <c r="G37" s="80">
        <f t="shared" si="6"/>
        <v>1082026.2799999993</v>
      </c>
    </row>
    <row r="38" spans="1:7" x14ac:dyDescent="0.25">
      <c r="A38" s="83" t="s">
        <v>314</v>
      </c>
      <c r="B38" s="80">
        <f>SUM(B39:B47)</f>
        <v>11316</v>
      </c>
      <c r="C38" s="80">
        <f t="shared" ref="C38:G38" si="7">SUM(C39:C47)</f>
        <v>1303559.0900000001</v>
      </c>
      <c r="D38" s="80">
        <f t="shared" si="7"/>
        <v>1314875.0900000001</v>
      </c>
      <c r="E38" s="80">
        <f t="shared" si="7"/>
        <v>1292831.2</v>
      </c>
      <c r="F38" s="80">
        <f t="shared" si="7"/>
        <v>1292831.2</v>
      </c>
      <c r="G38" s="80">
        <f t="shared" si="7"/>
        <v>22043.89000000013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>
        <v>11316</v>
      </c>
      <c r="C42" s="80">
        <v>1303559.0900000001</v>
      </c>
      <c r="D42" s="80">
        <v>1314875.0900000001</v>
      </c>
      <c r="E42" s="80">
        <v>1292831.2</v>
      </c>
      <c r="F42" s="80">
        <v>1292831.2</v>
      </c>
      <c r="G42" s="80">
        <f t="shared" si="8"/>
        <v>22043.89000000013</v>
      </c>
    </row>
    <row r="43" spans="1:7" x14ac:dyDescent="0.25">
      <c r="A43" s="84" t="s">
        <v>319</v>
      </c>
      <c r="B43" s="80"/>
      <c r="C43" s="80"/>
      <c r="D43" s="80">
        <v>0</v>
      </c>
      <c r="E43" s="80"/>
      <c r="F43" s="80"/>
      <c r="G43" s="80">
        <f t="shared" si="8"/>
        <v>0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3</v>
      </c>
      <c r="C48" s="80">
        <f t="shared" ref="C48:G48" si="9">SUM(C49:C57)</f>
        <v>2050763.8</v>
      </c>
      <c r="D48" s="80">
        <f t="shared" si="9"/>
        <v>2050766.8</v>
      </c>
      <c r="E48" s="80">
        <f t="shared" si="9"/>
        <v>2050766.8</v>
      </c>
      <c r="F48" s="80">
        <f t="shared" si="9"/>
        <v>2050766.8</v>
      </c>
      <c r="G48" s="80">
        <f t="shared" si="9"/>
        <v>0</v>
      </c>
    </row>
    <row r="49" spans="1:7" x14ac:dyDescent="0.25">
      <c r="A49" s="84" t="s">
        <v>325</v>
      </c>
      <c r="B49" s="80">
        <v>2</v>
      </c>
      <c r="C49" s="80">
        <v>483523.05</v>
      </c>
      <c r="D49" s="80">
        <v>483525.05</v>
      </c>
      <c r="E49" s="80">
        <v>483525.05</v>
      </c>
      <c r="F49" s="80">
        <v>483525.05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10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10"/>
        <v>0</v>
      </c>
    </row>
    <row r="52" spans="1:7" x14ac:dyDescent="0.25">
      <c r="A52" s="84" t="s">
        <v>328</v>
      </c>
      <c r="B52" s="80">
        <v>1</v>
      </c>
      <c r="C52" s="80">
        <v>1209969.69</v>
      </c>
      <c r="D52" s="80">
        <v>1209970.69</v>
      </c>
      <c r="E52" s="80">
        <v>1209970.69</v>
      </c>
      <c r="F52" s="80">
        <v>1209970.69</v>
      </c>
      <c r="G52" s="80">
        <f t="shared" si="10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10"/>
        <v>0</v>
      </c>
    </row>
    <row r="54" spans="1:7" x14ac:dyDescent="0.25">
      <c r="A54" s="84" t="s">
        <v>330</v>
      </c>
      <c r="B54" s="80">
        <v>0</v>
      </c>
      <c r="C54" s="80">
        <v>357271.06</v>
      </c>
      <c r="D54" s="80">
        <v>357271.06</v>
      </c>
      <c r="E54" s="80">
        <v>357271.06</v>
      </c>
      <c r="F54" s="80">
        <v>357271.06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10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10"/>
        <v>0</v>
      </c>
    </row>
    <row r="58" spans="1:7" x14ac:dyDescent="0.25">
      <c r="A58" s="83" t="s">
        <v>334</v>
      </c>
      <c r="B58" s="80">
        <f>SUM(B59:B61)</f>
        <v>5304949</v>
      </c>
      <c r="C58" s="80">
        <f t="shared" ref="C58:G58" si="11">SUM(C59:C61)</f>
        <v>5606748.21</v>
      </c>
      <c r="D58" s="80">
        <f t="shared" si="11"/>
        <v>10911697.209999999</v>
      </c>
      <c r="E58" s="80">
        <f t="shared" si="11"/>
        <v>10911697.210000001</v>
      </c>
      <c r="F58" s="80">
        <f t="shared" si="11"/>
        <v>10308709.77</v>
      </c>
      <c r="G58" s="80">
        <f t="shared" si="11"/>
        <v>0</v>
      </c>
    </row>
    <row r="59" spans="1:7" x14ac:dyDescent="0.25">
      <c r="A59" s="84" t="s">
        <v>335</v>
      </c>
      <c r="B59" s="80">
        <v>0</v>
      </c>
      <c r="C59" s="80">
        <v>963544.74</v>
      </c>
      <c r="D59" s="80">
        <v>963544.74</v>
      </c>
      <c r="E59" s="80">
        <v>963544.74</v>
      </c>
      <c r="F59" s="80">
        <v>963544.74</v>
      </c>
      <c r="G59" s="80">
        <f>D59-E59</f>
        <v>0</v>
      </c>
    </row>
    <row r="60" spans="1:7" x14ac:dyDescent="0.25">
      <c r="A60" s="84" t="s">
        <v>336</v>
      </c>
      <c r="B60" s="80">
        <v>5304948</v>
      </c>
      <c r="C60" s="80">
        <v>4510937.0599999996</v>
      </c>
      <c r="D60" s="80">
        <v>9815885.0599999987</v>
      </c>
      <c r="E60" s="80">
        <v>9815885.0600000005</v>
      </c>
      <c r="F60" s="80">
        <v>9212897.6199999992</v>
      </c>
      <c r="G60" s="80">
        <f t="shared" ref="G60:G61" si="12">D60-E60</f>
        <v>0</v>
      </c>
    </row>
    <row r="61" spans="1:7" x14ac:dyDescent="0.25">
      <c r="A61" s="84" t="s">
        <v>337</v>
      </c>
      <c r="B61" s="80">
        <v>1</v>
      </c>
      <c r="C61" s="80">
        <v>132266.41</v>
      </c>
      <c r="D61" s="80">
        <v>132267.41</v>
      </c>
      <c r="E61" s="80">
        <v>132267.41</v>
      </c>
      <c r="F61" s="80">
        <v>132267.41</v>
      </c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/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/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/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/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/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0</v>
      </c>
      <c r="D75" s="80">
        <f t="shared" si="17"/>
        <v>0</v>
      </c>
      <c r="E75" s="80">
        <f t="shared" si="17"/>
        <v>0</v>
      </c>
      <c r="F75" s="80">
        <f t="shared" si="17"/>
        <v>0</v>
      </c>
      <c r="G75" s="80">
        <f t="shared" si="17"/>
        <v>0</v>
      </c>
    </row>
    <row r="76" spans="1:7" x14ac:dyDescent="0.25">
      <c r="A76" s="84" t="s">
        <v>352</v>
      </c>
      <c r="B76" s="80"/>
      <c r="C76" s="80"/>
      <c r="D76" s="80"/>
      <c r="E76" s="80"/>
      <c r="F76" s="80"/>
      <c r="G76" s="80">
        <f>D76-E76</f>
        <v>0</v>
      </c>
    </row>
    <row r="77" spans="1:7" x14ac:dyDescent="0.25">
      <c r="A77" s="84" t="s">
        <v>353</v>
      </c>
      <c r="B77" s="80"/>
      <c r="C77" s="80"/>
      <c r="D77" s="80"/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/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/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/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/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/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48556652</v>
      </c>
      <c r="C159" s="79">
        <f t="shared" ref="C159:G159" si="38">C9+C84</f>
        <v>14846192.5</v>
      </c>
      <c r="D159" s="79">
        <f t="shared" si="38"/>
        <v>63402844.500000007</v>
      </c>
      <c r="E159" s="79">
        <f t="shared" si="38"/>
        <v>52740446.43</v>
      </c>
      <c r="F159" s="79">
        <f t="shared" si="38"/>
        <v>52137458.989999995</v>
      </c>
      <c r="G159" s="79">
        <f t="shared" si="38"/>
        <v>10662398.07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48556652</v>
      </c>
      <c r="Q2" s="18">
        <f>'Formato 6 a)'!C9</f>
        <v>14846192.5</v>
      </c>
      <c r="R2" s="18">
        <f>'Formato 6 a)'!D9</f>
        <v>63402844.500000007</v>
      </c>
      <c r="S2" s="18">
        <f>'Formato 6 a)'!E9</f>
        <v>52740446.43</v>
      </c>
      <c r="T2" s="18">
        <f>'Formato 6 a)'!F9</f>
        <v>52137458.989999995</v>
      </c>
      <c r="U2" s="18">
        <f>'Formato 6 a)'!G9</f>
        <v>10662398.07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17225075</v>
      </c>
      <c r="Q3" s="18">
        <f>'Formato 6 a)'!C10</f>
        <v>0</v>
      </c>
      <c r="R3" s="18">
        <f>'Formato 6 a)'!D10</f>
        <v>17225075</v>
      </c>
      <c r="S3" s="18">
        <f>'Formato 6 a)'!E10</f>
        <v>13322492.819999998</v>
      </c>
      <c r="T3" s="18">
        <f>'Formato 6 a)'!F10</f>
        <v>13322492.819999998</v>
      </c>
      <c r="U3" s="18">
        <f>'Formato 6 a)'!G10</f>
        <v>3902582.1800000006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10119755</v>
      </c>
      <c r="Q4" s="18">
        <f>'Formato 6 a)'!C11</f>
        <v>402016</v>
      </c>
      <c r="R4" s="18">
        <f>'Formato 6 a)'!D11</f>
        <v>10521771</v>
      </c>
      <c r="S4" s="18">
        <f>'Formato 6 a)'!E11</f>
        <v>9232867.0299999993</v>
      </c>
      <c r="T4" s="18">
        <f>'Formato 6 a)'!F11</f>
        <v>9232867.0299999993</v>
      </c>
      <c r="U4" s="18">
        <f>'Formato 6 a)'!G11</f>
        <v>1288903.9700000007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2474609</v>
      </c>
      <c r="Q6" s="18">
        <f>'Formato 6 a)'!C13</f>
        <v>56972</v>
      </c>
      <c r="R6" s="18">
        <f>'Formato 6 a)'!D13</f>
        <v>2531581</v>
      </c>
      <c r="S6" s="18">
        <f>'Formato 6 a)'!E13</f>
        <v>1493097.81</v>
      </c>
      <c r="T6" s="18">
        <f>'Formato 6 a)'!F13</f>
        <v>1493097.81</v>
      </c>
      <c r="U6" s="18">
        <f>'Formato 6 a)'!G13</f>
        <v>1038483.19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2765602</v>
      </c>
      <c r="Q7" s="18">
        <f>'Formato 6 a)'!C14</f>
        <v>107656</v>
      </c>
      <c r="R7" s="18">
        <f>'Formato 6 a)'!D14</f>
        <v>2873258</v>
      </c>
      <c r="S7" s="18">
        <f>'Formato 6 a)'!E14</f>
        <v>2152400.13</v>
      </c>
      <c r="T7" s="18">
        <f>'Formato 6 a)'!F14</f>
        <v>2152400.13</v>
      </c>
      <c r="U7" s="18">
        <f>'Formato 6 a)'!G14</f>
        <v>720857.87000000011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1077627</v>
      </c>
      <c r="Q8" s="18">
        <f>'Formato 6 a)'!C15</f>
        <v>11400</v>
      </c>
      <c r="R8" s="18">
        <f>'Formato 6 a)'!D15</f>
        <v>1089027</v>
      </c>
      <c r="S8" s="18">
        <f>'Formato 6 a)'!E15</f>
        <v>444127.85</v>
      </c>
      <c r="T8" s="18">
        <f>'Formato 6 a)'!F15</f>
        <v>444127.85</v>
      </c>
      <c r="U8" s="18">
        <f>'Formato 6 a)'!G15</f>
        <v>644899.15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787482</v>
      </c>
      <c r="Q9" s="18">
        <f>'Formato 6 a)'!C16</f>
        <v>-578044</v>
      </c>
      <c r="R9" s="18">
        <f>'Formato 6 a)'!D16</f>
        <v>209438</v>
      </c>
      <c r="S9" s="18">
        <f>'Formato 6 a)'!E16</f>
        <v>0</v>
      </c>
      <c r="T9" s="18">
        <f>'Formato 6 a)'!F16</f>
        <v>0</v>
      </c>
      <c r="U9" s="18">
        <f>'Formato 6 a)'!G16</f>
        <v>209438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4336523</v>
      </c>
      <c r="Q11" s="18">
        <f>'Formato 6 a)'!C18</f>
        <v>193215.48</v>
      </c>
      <c r="R11" s="18">
        <f>'Formato 6 a)'!D18</f>
        <v>4529738.4800000004</v>
      </c>
      <c r="S11" s="18">
        <f>'Formato 6 a)'!E18</f>
        <v>3165070.42</v>
      </c>
      <c r="T11" s="18">
        <f>'Formato 6 a)'!F18</f>
        <v>3165070.42</v>
      </c>
      <c r="U11" s="18">
        <f>'Formato 6 a)'!G18</f>
        <v>1364668.06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294391</v>
      </c>
      <c r="Q12" s="18">
        <f>'Formato 6 a)'!C19</f>
        <v>80971.509999999995</v>
      </c>
      <c r="R12" s="18">
        <f>'Formato 6 a)'!D19</f>
        <v>375362.51</v>
      </c>
      <c r="S12" s="18">
        <f>'Formato 6 a)'!E19</f>
        <v>176731</v>
      </c>
      <c r="T12" s="18">
        <f>'Formato 6 a)'!F19</f>
        <v>176731</v>
      </c>
      <c r="U12" s="18">
        <f>'Formato 6 a)'!G19</f>
        <v>198631.51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71783</v>
      </c>
      <c r="Q13" s="18">
        <f>'Formato 6 a)'!C20</f>
        <v>18281.37</v>
      </c>
      <c r="R13" s="18">
        <f>'Formato 6 a)'!D20</f>
        <v>90064.37</v>
      </c>
      <c r="S13" s="18">
        <f>'Formato 6 a)'!E20</f>
        <v>34143.870000000003</v>
      </c>
      <c r="T13" s="18">
        <f>'Formato 6 a)'!F20</f>
        <v>34143.870000000003</v>
      </c>
      <c r="U13" s="18">
        <f>'Formato 6 a)'!G20</f>
        <v>55920.499999999993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3266238</v>
      </c>
      <c r="Q15" s="18">
        <f>'Formato 6 a)'!C22</f>
        <v>-102428.3</v>
      </c>
      <c r="R15" s="18">
        <f>'Formato 6 a)'!D22</f>
        <v>3163809.7</v>
      </c>
      <c r="S15" s="18">
        <f>'Formato 6 a)'!E22</f>
        <v>2402428.52</v>
      </c>
      <c r="T15" s="18">
        <f>'Formato 6 a)'!F22</f>
        <v>2402428.52</v>
      </c>
      <c r="U15" s="18">
        <f>'Formato 6 a)'!G22</f>
        <v>761381.18000000017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20623</v>
      </c>
      <c r="Q16" s="18">
        <f>'Formato 6 a)'!C23</f>
        <v>8045.08</v>
      </c>
      <c r="R16" s="18">
        <f>'Formato 6 a)'!D23</f>
        <v>28668.080000000002</v>
      </c>
      <c r="S16" s="18">
        <f>'Formato 6 a)'!E23</f>
        <v>1048.25</v>
      </c>
      <c r="T16" s="18">
        <f>'Formato 6 a)'!F23</f>
        <v>1048.25</v>
      </c>
      <c r="U16" s="18">
        <f>'Formato 6 a)'!G23</f>
        <v>27619.83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413569</v>
      </c>
      <c r="Q17" s="18">
        <f>'Formato 6 a)'!C24</f>
        <v>119604.08</v>
      </c>
      <c r="R17" s="18">
        <f>'Formato 6 a)'!D24</f>
        <v>533173.07999999996</v>
      </c>
      <c r="S17" s="18">
        <f>'Formato 6 a)'!E24</f>
        <v>418911.81</v>
      </c>
      <c r="T17" s="18">
        <f>'Formato 6 a)'!F24</f>
        <v>418911.81</v>
      </c>
      <c r="U17" s="18">
        <f>'Formato 6 a)'!G24</f>
        <v>114261.26999999996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152662</v>
      </c>
      <c r="Q18" s="18">
        <f>'Formato 6 a)'!C25</f>
        <v>38879.26</v>
      </c>
      <c r="R18" s="18">
        <f>'Formato 6 a)'!D25</f>
        <v>191541.26</v>
      </c>
      <c r="S18" s="18">
        <f>'Formato 6 a)'!E25</f>
        <v>98875.59</v>
      </c>
      <c r="T18" s="18">
        <f>'Formato 6 a)'!F25</f>
        <v>98875.59</v>
      </c>
      <c r="U18" s="18">
        <f>'Formato 6 a)'!G25</f>
        <v>92665.670000000013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117257</v>
      </c>
      <c r="Q20" s="18">
        <f>'Formato 6 a)'!C27</f>
        <v>29862.48</v>
      </c>
      <c r="R20" s="18">
        <f>'Formato 6 a)'!D27</f>
        <v>147119.48000000001</v>
      </c>
      <c r="S20" s="18">
        <f>'Formato 6 a)'!E27</f>
        <v>32931.379999999997</v>
      </c>
      <c r="T20" s="18">
        <f>'Formato 6 a)'!F27</f>
        <v>32931.379999999997</v>
      </c>
      <c r="U20" s="18">
        <f>'Formato 6 a)'!G27</f>
        <v>114188.1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21678786</v>
      </c>
      <c r="Q21" s="18">
        <f>'Formato 6 a)'!C28</f>
        <v>5691905.9199999999</v>
      </c>
      <c r="R21" s="18">
        <f>'Formato 6 a)'!D28</f>
        <v>27370691.920000002</v>
      </c>
      <c r="S21" s="18">
        <f>'Formato 6 a)'!E28</f>
        <v>21997587.98</v>
      </c>
      <c r="T21" s="18">
        <f>'Formato 6 a)'!F28</f>
        <v>21997587.98</v>
      </c>
      <c r="U21" s="18">
        <f>'Formato 6 a)'!G28</f>
        <v>5373103.9400000004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10299073</v>
      </c>
      <c r="Q22" s="18">
        <f>'Formato 6 a)'!C29</f>
        <v>1436495.22</v>
      </c>
      <c r="R22" s="18">
        <f>'Formato 6 a)'!D29</f>
        <v>11735568.220000001</v>
      </c>
      <c r="S22" s="18">
        <f>'Formato 6 a)'!E29</f>
        <v>10742632.949999999</v>
      </c>
      <c r="T22" s="18">
        <f>'Formato 6 a)'!F29</f>
        <v>10742632.949999999</v>
      </c>
      <c r="U22" s="18">
        <f>'Formato 6 a)'!G29</f>
        <v>992935.27000000142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697771</v>
      </c>
      <c r="Q24" s="18">
        <f>'Formato 6 a)'!C31</f>
        <v>270344.12</v>
      </c>
      <c r="R24" s="18">
        <f>'Formato 6 a)'!D31</f>
        <v>968115.12</v>
      </c>
      <c r="S24" s="18">
        <f>'Formato 6 a)'!E31</f>
        <v>337485.81</v>
      </c>
      <c r="T24" s="18">
        <f>'Formato 6 a)'!F31</f>
        <v>337485.81</v>
      </c>
      <c r="U24" s="18">
        <f>'Formato 6 a)'!G31</f>
        <v>630629.31000000006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364745</v>
      </c>
      <c r="Q25" s="18">
        <f>'Formato 6 a)'!C32</f>
        <v>130689.96</v>
      </c>
      <c r="R25" s="18">
        <f>'Formato 6 a)'!D32</f>
        <v>495434.96</v>
      </c>
      <c r="S25" s="18">
        <f>'Formato 6 a)'!E32</f>
        <v>105223.22</v>
      </c>
      <c r="T25" s="18">
        <f>'Formato 6 a)'!F32</f>
        <v>105223.22</v>
      </c>
      <c r="U25" s="18">
        <f>'Formato 6 a)'!G32</f>
        <v>390211.74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4584559</v>
      </c>
      <c r="Q26" s="18">
        <f>'Formato 6 a)'!C33</f>
        <v>2455978.09</v>
      </c>
      <c r="R26" s="18">
        <f>'Formato 6 a)'!D33</f>
        <v>7040537.0899999999</v>
      </c>
      <c r="S26" s="18">
        <f>'Formato 6 a)'!E33</f>
        <v>5365417.08</v>
      </c>
      <c r="T26" s="18">
        <f>'Formato 6 a)'!F33</f>
        <v>5365417.08</v>
      </c>
      <c r="U26" s="18">
        <f>'Formato 6 a)'!G33</f>
        <v>1675120.0099999998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260946</v>
      </c>
      <c r="Q27" s="18">
        <f>'Formato 6 a)'!C34</f>
        <v>98892.41</v>
      </c>
      <c r="R27" s="18">
        <f>'Formato 6 a)'!D34</f>
        <v>359838.41000000003</v>
      </c>
      <c r="S27" s="18">
        <f>'Formato 6 a)'!E34</f>
        <v>41242.07</v>
      </c>
      <c r="T27" s="18">
        <f>'Formato 6 a)'!F34</f>
        <v>41242.07</v>
      </c>
      <c r="U27" s="18">
        <f>'Formato 6 a)'!G34</f>
        <v>318596.34000000003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139958</v>
      </c>
      <c r="Q28" s="18">
        <f>'Formato 6 a)'!C35</f>
        <v>35643.870000000003</v>
      </c>
      <c r="R28" s="18">
        <f>'Formato 6 a)'!D35</f>
        <v>175601.87</v>
      </c>
      <c r="S28" s="18">
        <f>'Formato 6 a)'!E35</f>
        <v>9468.69</v>
      </c>
      <c r="T28" s="18">
        <f>'Formato 6 a)'!F35</f>
        <v>9468.69</v>
      </c>
      <c r="U28" s="18">
        <f>'Formato 6 a)'!G35</f>
        <v>166133.18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120629</v>
      </c>
      <c r="Q29" s="18">
        <f>'Formato 6 a)'!C36</f>
        <v>30721.24</v>
      </c>
      <c r="R29" s="18">
        <f>'Formato 6 a)'!D36</f>
        <v>151350.24</v>
      </c>
      <c r="S29" s="18">
        <f>'Formato 6 a)'!E36</f>
        <v>33898.43</v>
      </c>
      <c r="T29" s="18">
        <f>'Formato 6 a)'!F36</f>
        <v>33898.43</v>
      </c>
      <c r="U29" s="18">
        <f>'Formato 6 a)'!G36</f>
        <v>117451.81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5211105</v>
      </c>
      <c r="Q30" s="18">
        <f>'Formato 6 a)'!C37</f>
        <v>1233141.01</v>
      </c>
      <c r="R30" s="18">
        <f>'Formato 6 a)'!D37</f>
        <v>6444246.0099999998</v>
      </c>
      <c r="S30" s="18">
        <f>'Formato 6 a)'!E37</f>
        <v>5362219.7300000004</v>
      </c>
      <c r="T30" s="18">
        <f>'Formato 6 a)'!F37</f>
        <v>5362219.7300000004</v>
      </c>
      <c r="U30" s="18">
        <f>'Formato 6 a)'!G37</f>
        <v>1082026.2799999993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11316</v>
      </c>
      <c r="Q31" s="18">
        <f>'Formato 6 a)'!C38</f>
        <v>1303559.0900000001</v>
      </c>
      <c r="R31" s="18">
        <f>'Formato 6 a)'!D38</f>
        <v>1314875.0900000001</v>
      </c>
      <c r="S31" s="18">
        <f>'Formato 6 a)'!E38</f>
        <v>1292831.2</v>
      </c>
      <c r="T31" s="18">
        <f>'Formato 6 a)'!F38</f>
        <v>1292831.2</v>
      </c>
      <c r="U31" s="18">
        <f>'Formato 6 a)'!G38</f>
        <v>22043.89000000013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11316</v>
      </c>
      <c r="Q35" s="18">
        <f>'Formato 6 a)'!C42</f>
        <v>1303559.0900000001</v>
      </c>
      <c r="R35" s="18">
        <f>'Formato 6 a)'!D42</f>
        <v>1314875.0900000001</v>
      </c>
      <c r="S35" s="18">
        <f>'Formato 6 a)'!E42</f>
        <v>1292831.2</v>
      </c>
      <c r="T35" s="18">
        <f>'Formato 6 a)'!F42</f>
        <v>1292831.2</v>
      </c>
      <c r="U35" s="18">
        <f>'Formato 6 a)'!G42</f>
        <v>22043.89000000013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3</v>
      </c>
      <c r="Q41" s="18">
        <f>'Formato 6 a)'!C48</f>
        <v>2050763.8</v>
      </c>
      <c r="R41" s="18">
        <f>'Formato 6 a)'!D48</f>
        <v>2050766.8</v>
      </c>
      <c r="S41" s="18">
        <f>'Formato 6 a)'!E48</f>
        <v>2050766.8</v>
      </c>
      <c r="T41" s="18">
        <f>'Formato 6 a)'!F48</f>
        <v>2050766.8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2</v>
      </c>
      <c r="Q42" s="18">
        <f>'Formato 6 a)'!C49</f>
        <v>483523.05</v>
      </c>
      <c r="R42" s="18">
        <f>'Formato 6 a)'!D49</f>
        <v>483525.05</v>
      </c>
      <c r="S42" s="18">
        <f>'Formato 6 a)'!E49</f>
        <v>483525.05</v>
      </c>
      <c r="T42" s="18">
        <f>'Formato 6 a)'!F49</f>
        <v>483525.05</v>
      </c>
      <c r="U42" s="18">
        <f>'Formato 6 a)'!G49</f>
        <v>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1</v>
      </c>
      <c r="Q45" s="18">
        <f>'Formato 6 a)'!C52</f>
        <v>1209969.69</v>
      </c>
      <c r="R45" s="18">
        <f>'Formato 6 a)'!D52</f>
        <v>1209970.69</v>
      </c>
      <c r="S45" s="18">
        <f>'Formato 6 a)'!E52</f>
        <v>1209970.69</v>
      </c>
      <c r="T45" s="18">
        <f>'Formato 6 a)'!F52</f>
        <v>1209970.69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357271.06</v>
      </c>
      <c r="R47" s="18">
        <f>'Formato 6 a)'!D54</f>
        <v>357271.06</v>
      </c>
      <c r="S47" s="18">
        <f>'Formato 6 a)'!E54</f>
        <v>357271.06</v>
      </c>
      <c r="T47" s="18">
        <f>'Formato 6 a)'!F54</f>
        <v>357271.06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5304949</v>
      </c>
      <c r="Q51" s="18">
        <f>'Formato 6 a)'!C58</f>
        <v>5606748.21</v>
      </c>
      <c r="R51" s="18">
        <f>'Formato 6 a)'!D58</f>
        <v>10911697.209999999</v>
      </c>
      <c r="S51" s="18">
        <f>'Formato 6 a)'!E58</f>
        <v>10911697.210000001</v>
      </c>
      <c r="T51" s="18">
        <f>'Formato 6 a)'!F58</f>
        <v>10308709.77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963544.74</v>
      </c>
      <c r="R52" s="18">
        <f>'Formato 6 a)'!D59</f>
        <v>963544.74</v>
      </c>
      <c r="S52" s="18">
        <f>'Formato 6 a)'!E59</f>
        <v>963544.74</v>
      </c>
      <c r="T52" s="18">
        <f>'Formato 6 a)'!F59</f>
        <v>963544.74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5304948</v>
      </c>
      <c r="Q53" s="18">
        <f>'Formato 6 a)'!C60</f>
        <v>4510937.0599999996</v>
      </c>
      <c r="R53" s="18">
        <f>'Formato 6 a)'!D60</f>
        <v>9815885.0599999987</v>
      </c>
      <c r="S53" s="18">
        <f>'Formato 6 a)'!E60</f>
        <v>9815885.0600000005</v>
      </c>
      <c r="T53" s="18">
        <f>'Formato 6 a)'!F60</f>
        <v>9212897.6199999992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</v>
      </c>
      <c r="Q54" s="18">
        <f>'Formato 6 a)'!C61</f>
        <v>132266.41</v>
      </c>
      <c r="R54" s="18">
        <f>'Formato 6 a)'!D61</f>
        <v>132267.41</v>
      </c>
      <c r="S54" s="18">
        <f>'Formato 6 a)'!E61</f>
        <v>132267.41</v>
      </c>
      <c r="T54" s="18">
        <f>'Formato 6 a)'!F61</f>
        <v>132267.41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48556652</v>
      </c>
      <c r="Q150">
        <f>'Formato 6 a)'!C159</f>
        <v>14846192.5</v>
      </c>
      <c r="R150">
        <f>'Formato 6 a)'!D159</f>
        <v>63402844.500000007</v>
      </c>
      <c r="S150">
        <f>'Formato 6 a)'!E159</f>
        <v>52740446.43</v>
      </c>
      <c r="T150">
        <f>'Formato 6 a)'!F159</f>
        <v>52137458.989999995</v>
      </c>
      <c r="U150">
        <f>'Formato 6 a)'!G159</f>
        <v>10662398.07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31"/>
  <sheetViews>
    <sheetView showGridLines="0" zoomScale="90" zoomScaleNormal="90" workbookViewId="0">
      <selection activeCell="B20" sqref="B20:F27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SISTEMA MUNICIPAL DE AGUA POTABLE Y ALCANTARILLADO DE MOROLEON,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2021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48556652</v>
      </c>
      <c r="C9" s="59">
        <f>SUM(C10:GASTO_NE_FIN_02)</f>
        <v>14846192.5</v>
      </c>
      <c r="D9" s="59">
        <f>SUM(D10:GASTO_NE_FIN_03)</f>
        <v>63402844.5</v>
      </c>
      <c r="E9" s="59">
        <f>SUM(E10:GASTO_NE_FIN_04)</f>
        <v>52740446.43</v>
      </c>
      <c r="F9" s="59">
        <f>SUM(F10:GASTO_NE_FIN_05)</f>
        <v>52137458.990000002</v>
      </c>
      <c r="G9" s="59">
        <f>SUM(G10:GASTO_NE_FIN_06)</f>
        <v>10662398.07</v>
      </c>
    </row>
    <row r="10" spans="1:7" s="24" customFormat="1" x14ac:dyDescent="0.25">
      <c r="A10" s="144" t="s">
        <v>3305</v>
      </c>
      <c r="B10" s="60">
        <v>48556652</v>
      </c>
      <c r="C10" s="60">
        <v>14846192.5</v>
      </c>
      <c r="D10" s="60">
        <v>63402844.5</v>
      </c>
      <c r="E10" s="60">
        <v>52740446.43</v>
      </c>
      <c r="F10" s="60">
        <v>52137458.990000002</v>
      </c>
      <c r="G10" s="77">
        <f>D10-E10</f>
        <v>10662398.07</v>
      </c>
    </row>
    <row r="11" spans="1:7" s="24" customFormat="1" x14ac:dyDescent="0.25">
      <c r="A11" s="144" t="s">
        <v>433</v>
      </c>
      <c r="B11" s="60">
        <v>0</v>
      </c>
      <c r="C11" s="60"/>
      <c r="D11" s="60">
        <v>0</v>
      </c>
      <c r="E11" s="60">
        <v>0</v>
      </c>
      <c r="F11" s="60">
        <v>0</v>
      </c>
      <c r="G11" s="77">
        <f t="shared" ref="G11:G17" si="0">D11-E11</f>
        <v>0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x14ac:dyDescent="0.25">
      <c r="A14" s="144" t="s">
        <v>436</v>
      </c>
      <c r="B14" s="60"/>
      <c r="C14" s="60"/>
      <c r="D14" s="60">
        <v>0</v>
      </c>
      <c r="E14" s="60"/>
      <c r="F14" s="60"/>
      <c r="G14" s="77">
        <f t="shared" si="0"/>
        <v>0</v>
      </c>
    </row>
    <row r="15" spans="1:7" s="24" customFormat="1" x14ac:dyDescent="0.25">
      <c r="A15" s="144" t="s">
        <v>437</v>
      </c>
      <c r="B15" s="60"/>
      <c r="C15" s="60"/>
      <c r="D15" s="60">
        <v>0</v>
      </c>
      <c r="E15" s="60"/>
      <c r="F15" s="60"/>
      <c r="G15" s="77">
        <f t="shared" si="0"/>
        <v>0</v>
      </c>
    </row>
    <row r="16" spans="1:7" s="24" customFormat="1" x14ac:dyDescent="0.25">
      <c r="A16" s="144" t="s">
        <v>438</v>
      </c>
      <c r="B16" s="60"/>
      <c r="C16" s="60"/>
      <c r="D16" s="60">
        <v>0</v>
      </c>
      <c r="E16" s="60"/>
      <c r="F16" s="60"/>
      <c r="G16" s="77">
        <f t="shared" si="0"/>
        <v>0</v>
      </c>
    </row>
    <row r="17" spans="1:7" s="24" customFormat="1" x14ac:dyDescent="0.25">
      <c r="A17" s="144" t="s">
        <v>439</v>
      </c>
      <c r="B17" s="60"/>
      <c r="C17" s="60"/>
      <c r="D17" s="60">
        <v>0</v>
      </c>
      <c r="E17" s="60"/>
      <c r="F17" s="60"/>
      <c r="G17" s="77">
        <f t="shared" si="0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x14ac:dyDescent="0.2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x14ac:dyDescent="0.2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x14ac:dyDescent="0.2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x14ac:dyDescent="0.2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48556652</v>
      </c>
      <c r="C29" s="61">
        <f>GASTO_NE_T2+GASTO_E_T2</f>
        <v>14846192.5</v>
      </c>
      <c r="D29" s="61">
        <f>GASTO_NE_T3+GASTO_E_T3</f>
        <v>63402844.5</v>
      </c>
      <c r="E29" s="61">
        <f>GASTO_NE_T4+GASTO_E_T4</f>
        <v>52740446.43</v>
      </c>
      <c r="F29" s="61">
        <f>GASTO_NE_T5+GASTO_E_T5</f>
        <v>52137458.990000002</v>
      </c>
      <c r="G29" s="61">
        <f>GASTO_NE_T6+GASTO_E_T6</f>
        <v>10662398.07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48556652</v>
      </c>
      <c r="Q2" s="18">
        <f>GASTO_NE_T2</f>
        <v>14846192.5</v>
      </c>
      <c r="R2" s="18">
        <f>GASTO_NE_T3</f>
        <v>63402844.5</v>
      </c>
      <c r="S2" s="18">
        <f>GASTO_NE_T4</f>
        <v>52740446.43</v>
      </c>
      <c r="T2" s="18">
        <f>GASTO_NE_T5</f>
        <v>52137458.990000002</v>
      </c>
      <c r="U2" s="18">
        <f>GASTO_NE_T6</f>
        <v>10662398.07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48556652</v>
      </c>
      <c r="Q4" s="18">
        <f>TOTAL_E_T2</f>
        <v>14846192.5</v>
      </c>
      <c r="R4" s="18">
        <f>TOTAL_E_T3</f>
        <v>63402844.5</v>
      </c>
      <c r="S4" s="18">
        <f>TOTAL_E_T4</f>
        <v>52740446.43</v>
      </c>
      <c r="T4" s="18">
        <f>TOTAL_E_T5</f>
        <v>52137458.990000002</v>
      </c>
      <c r="U4" s="18">
        <f>TOTAL_E_T6</f>
        <v>10662398.07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90" zoomScaleNormal="90" workbookViewId="0">
      <selection activeCell="B8" sqref="B8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SISTEMA MUNICIPAL DE AGUA POTABLE Y ALCANTARILLADO DE MOROLEON,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2021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48556652</v>
      </c>
      <c r="C9" s="70">
        <f t="shared" ref="C9:G9" si="0">SUM(C10,C19,C27,C37)</f>
        <v>14846192.5</v>
      </c>
      <c r="D9" s="70">
        <f t="shared" si="0"/>
        <v>63402844.5</v>
      </c>
      <c r="E9" s="70">
        <f t="shared" si="0"/>
        <v>52740446.43</v>
      </c>
      <c r="F9" s="70">
        <f t="shared" si="0"/>
        <v>52137458.990000002</v>
      </c>
      <c r="G9" s="70">
        <f t="shared" si="0"/>
        <v>10662398.07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x14ac:dyDescent="0.2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x14ac:dyDescent="0.2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x14ac:dyDescent="0.25">
      <c r="A19" s="53" t="s">
        <v>373</v>
      </c>
      <c r="B19" s="71">
        <f>SUM(B20:B26)</f>
        <v>48556652</v>
      </c>
      <c r="C19" s="71">
        <f t="shared" ref="C19:F19" si="3">SUM(C20:C26)</f>
        <v>14846192.5</v>
      </c>
      <c r="D19" s="71">
        <f t="shared" si="3"/>
        <v>63402844.5</v>
      </c>
      <c r="E19" s="71">
        <f t="shared" si="3"/>
        <v>52740446.43</v>
      </c>
      <c r="F19" s="71">
        <f t="shared" si="3"/>
        <v>52137458.990000002</v>
      </c>
      <c r="G19" s="71">
        <f>SUM(G20:G26)</f>
        <v>10662398.07</v>
      </c>
    </row>
    <row r="20" spans="1:7" x14ac:dyDescent="0.25">
      <c r="A20" s="63" t="s">
        <v>374</v>
      </c>
      <c r="B20" s="71"/>
      <c r="C20" s="71"/>
      <c r="D20" s="71">
        <v>0</v>
      </c>
      <c r="E20" s="71"/>
      <c r="F20" s="71"/>
      <c r="G20" s="72">
        <f>D20-E20</f>
        <v>0</v>
      </c>
    </row>
    <row r="21" spans="1:7" x14ac:dyDescent="0.25">
      <c r="A21" s="63" t="s">
        <v>375</v>
      </c>
      <c r="B21" s="71">
        <v>48556652</v>
      </c>
      <c r="C21" s="71">
        <v>14846192.5</v>
      </c>
      <c r="D21" s="71">
        <v>63402844.5</v>
      </c>
      <c r="E21" s="71">
        <v>52740446.43</v>
      </c>
      <c r="F21" s="71">
        <v>52137458.990000002</v>
      </c>
      <c r="G21" s="72">
        <f t="shared" ref="G21:G26" si="4">D21-E21</f>
        <v>10662398.07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>
        <v>0</v>
      </c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>
        <v>0</v>
      </c>
      <c r="E25" s="71"/>
      <c r="F25" s="71"/>
      <c r="G25" s="72">
        <f t="shared" si="4"/>
        <v>0</v>
      </c>
    </row>
    <row r="26" spans="1:7" x14ac:dyDescent="0.25">
      <c r="A26" s="63" t="s">
        <v>380</v>
      </c>
      <c r="B26" s="71"/>
      <c r="C26" s="71"/>
      <c r="D26" s="71">
        <v>0</v>
      </c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x14ac:dyDescent="0.2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x14ac:dyDescent="0.2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x14ac:dyDescent="0.2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x14ac:dyDescent="0.2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48556652</v>
      </c>
      <c r="C77" s="73">
        <f t="shared" ref="C77:F77" si="18">C43+C9</f>
        <v>14846192.5</v>
      </c>
      <c r="D77" s="73">
        <f t="shared" si="18"/>
        <v>63402844.5</v>
      </c>
      <c r="E77" s="73">
        <f t="shared" si="18"/>
        <v>52740446.43</v>
      </c>
      <c r="F77" s="73">
        <f t="shared" si="18"/>
        <v>52137458.990000002</v>
      </c>
      <c r="G77" s="73">
        <f>G43+G9</f>
        <v>10662398.07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48556652</v>
      </c>
      <c r="Q2" s="18">
        <f>'Formato 6 c)'!C9</f>
        <v>14846192.5</v>
      </c>
      <c r="R2" s="18">
        <f>'Formato 6 c)'!D9</f>
        <v>63402844.5</v>
      </c>
      <c r="S2" s="18">
        <f>'Formato 6 c)'!E9</f>
        <v>52740446.43</v>
      </c>
      <c r="T2" s="18">
        <f>'Formato 6 c)'!F9</f>
        <v>52137458.990000002</v>
      </c>
      <c r="U2" s="18">
        <f>'Formato 6 c)'!G9</f>
        <v>10662398.07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48556652</v>
      </c>
      <c r="Q12" s="18">
        <f>'Formato 6 c)'!C19</f>
        <v>14846192.5</v>
      </c>
      <c r="R12" s="18">
        <f>'Formato 6 c)'!D19</f>
        <v>63402844.5</v>
      </c>
      <c r="S12" s="18">
        <f>'Formato 6 c)'!E19</f>
        <v>52740446.43</v>
      </c>
      <c r="T12" s="18">
        <f>'Formato 6 c)'!F19</f>
        <v>52137458.990000002</v>
      </c>
      <c r="U12" s="18">
        <f>'Formato 6 c)'!G19</f>
        <v>10662398.07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48556652</v>
      </c>
      <c r="Q14" s="18">
        <f>'Formato 6 c)'!C21</f>
        <v>14846192.5</v>
      </c>
      <c r="R14" s="18">
        <f>'Formato 6 c)'!D21</f>
        <v>63402844.5</v>
      </c>
      <c r="S14" s="18">
        <f>'Formato 6 c)'!E21</f>
        <v>52740446.43</v>
      </c>
      <c r="T14" s="18">
        <f>'Formato 6 c)'!F21</f>
        <v>52137458.990000002</v>
      </c>
      <c r="U14" s="18">
        <f>'Formato 6 c)'!G21</f>
        <v>10662398.07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48556652</v>
      </c>
      <c r="Q68" s="18">
        <f>'Formato 6 c)'!C77</f>
        <v>14846192.5</v>
      </c>
      <c r="R68" s="18">
        <f>'Formato 6 c)'!D77</f>
        <v>63402844.5</v>
      </c>
      <c r="S68" s="18">
        <f>'Formato 6 c)'!E77</f>
        <v>52740446.43</v>
      </c>
      <c r="T68" s="18">
        <f>'Formato 6 c)'!F77</f>
        <v>52137458.990000002</v>
      </c>
      <c r="U68" s="18">
        <f>'Formato 6 c)'!G77</f>
        <v>10662398.07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DE AGUA POTABLE Y ALCANTARILLADO DE MOROLEON, Gobierno del Estado de Guanajuato</v>
      </c>
    </row>
    <row r="7" spans="2:3" ht="14.25" x14ac:dyDescent="0.45">
      <c r="C7" t="str">
        <f>CONCATENATE(ENTE_PUBLICO," (a)")</f>
        <v>SISTEMA MUNICIPAL DE AGUA POTABLE Y ALCANTARILLADO DE MOROLEON,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1149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Moroleón, Gobierno del Estado de Guanajuato</v>
      </c>
    </row>
    <row r="12" spans="2:3" x14ac:dyDescent="0.25">
      <c r="B12" t="s">
        <v>794</v>
      </c>
      <c r="C12" s="24">
        <v>2021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2021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2021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2021 (m = g – l)</v>
      </c>
    </row>
    <row r="20" spans="4:9" ht="60" x14ac:dyDescent="0.25">
      <c r="D20" s="21" t="str">
        <f>CONCATENATE(ANIO_INFORME, " (d)")</f>
        <v>2021 (d)</v>
      </c>
      <c r="E20" s="22" t="str">
        <f>CONCATENATE("31 de diciembre de ",ANIO_INFORME-1, " (e)")</f>
        <v>31 de diciembre de 2020 (e)</v>
      </c>
      <c r="F20" s="31" t="str">
        <f>CONCATENATE("Saldo al 31 de diciembre de ",ANIO_INFORME-1, " (d)")</f>
        <v>Saldo al 31 de diciembre de 2020 (d)</v>
      </c>
    </row>
    <row r="23" spans="4:9" x14ac:dyDescent="0.25">
      <c r="D23" s="33">
        <f>ANIO_INFORME + 1</f>
        <v>2022</v>
      </c>
      <c r="E23" s="34" t="str">
        <f>CONCATENATE(ANIO_INFORME + 2, " (d)")</f>
        <v>2023 (d)</v>
      </c>
      <c r="F23" s="34" t="str">
        <f>CONCATENATE(ANIO_INFORME + 3, " (d)")</f>
        <v>2024 (d)</v>
      </c>
      <c r="G23" s="34" t="str">
        <f>CONCATENATE(ANIO_INFORME + 4, " (d)")</f>
        <v>2025 (d)</v>
      </c>
      <c r="H23" s="34" t="str">
        <f>CONCATENATE(ANIO_INFORME + 5, " (d)")</f>
        <v>2026 (d)</v>
      </c>
      <c r="I23" s="34" t="str">
        <f>CONCATENATE(ANIO_INFORME + 6, " (d)")</f>
        <v>2027 (d)</v>
      </c>
    </row>
    <row r="25" spans="4:9" x14ac:dyDescent="0.25">
      <c r="D25" s="35" t="str">
        <f>CONCATENATE(ANIO_INFORME - 5, " ",CHAR(185)," (c)")</f>
        <v>2016 ¹ (c)</v>
      </c>
      <c r="E25" s="35" t="str">
        <f>CONCATENATE(ANIO_INFORME - 4, " ",CHAR(185)," (c)")</f>
        <v>2017 ¹ (c)</v>
      </c>
      <c r="F25" s="35" t="str">
        <f>CONCATENATE(ANIO_INFORME - 3, " ",CHAR(185)," (c)")</f>
        <v>2018 ¹ (c)</v>
      </c>
      <c r="G25" s="35" t="str">
        <f>CONCATENATE(ANIO_INFORME - 2, " ",CHAR(185)," (c)")</f>
        <v>2019 ¹ (c)</v>
      </c>
      <c r="H25" s="35" t="str">
        <f>CONCATENATE(ANIO_INFORME - 1, " ",CHAR(185)," (c)")</f>
        <v>2020 ¹ (c)</v>
      </c>
      <c r="I25" s="33">
        <f>ANIO_INFORME</f>
        <v>2021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topLeftCell="B1" zoomScale="90" zoomScaleNormal="90" workbookViewId="0">
      <selection activeCell="G34" sqref="G34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SISTEMA MUNICIPAL DE AGUA POTABLE Y ALCANTARILLADO DE MOROLEON,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2021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17225075</v>
      </c>
      <c r="C9" s="66">
        <f t="shared" ref="C9:F9" si="0">SUM(C10,C11,C12,C15,C16,C19)</f>
        <v>0</v>
      </c>
      <c r="D9" s="66">
        <f t="shared" si="0"/>
        <v>17225075</v>
      </c>
      <c r="E9" s="66">
        <f t="shared" si="0"/>
        <v>13322492.82</v>
      </c>
      <c r="F9" s="66">
        <f t="shared" si="0"/>
        <v>13322492.82</v>
      </c>
      <c r="G9" s="66">
        <f>SUM(G10,G11,G12,G15,G16,G19)</f>
        <v>3902582.1799999997</v>
      </c>
    </row>
    <row r="10" spans="1:7" x14ac:dyDescent="0.25">
      <c r="A10" s="53" t="s">
        <v>401</v>
      </c>
      <c r="B10" s="67">
        <v>17225075</v>
      </c>
      <c r="C10" s="67">
        <v>0</v>
      </c>
      <c r="D10" s="67">
        <v>17225075</v>
      </c>
      <c r="E10" s="67">
        <v>13322492.82</v>
      </c>
      <c r="F10" s="67">
        <v>13322492.82</v>
      </c>
      <c r="G10" s="67">
        <f>D10-E10</f>
        <v>3902582.1799999997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x14ac:dyDescent="0.2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x14ac:dyDescent="0.2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17225075</v>
      </c>
      <c r="C33" s="66">
        <f t="shared" ref="C33:G33" si="9">C21+C9</f>
        <v>0</v>
      </c>
      <c r="D33" s="66">
        <f t="shared" si="9"/>
        <v>17225075</v>
      </c>
      <c r="E33" s="66">
        <f t="shared" si="9"/>
        <v>13322492.82</v>
      </c>
      <c r="F33" s="66">
        <f t="shared" si="9"/>
        <v>13322492.82</v>
      </c>
      <c r="G33" s="66">
        <f t="shared" si="9"/>
        <v>3902582.1799999997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17225075</v>
      </c>
      <c r="Q2" s="18">
        <f>'Formato 6 d)'!C9</f>
        <v>0</v>
      </c>
      <c r="R2" s="18">
        <f>'Formato 6 d)'!D9</f>
        <v>17225075</v>
      </c>
      <c r="S2" s="18">
        <f>'Formato 6 d)'!E9</f>
        <v>13322492.82</v>
      </c>
      <c r="T2" s="18">
        <f>'Formato 6 d)'!F9</f>
        <v>13322492.82</v>
      </c>
      <c r="U2" s="18">
        <f>'Formato 6 d)'!G9</f>
        <v>3902582.1799999997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17225075</v>
      </c>
      <c r="Q3" s="18">
        <f>'Formato 6 d)'!C10</f>
        <v>0</v>
      </c>
      <c r="R3" s="18">
        <f>'Formato 6 d)'!D10</f>
        <v>17225075</v>
      </c>
      <c r="S3" s="18">
        <f>'Formato 6 d)'!E10</f>
        <v>13322492.82</v>
      </c>
      <c r="T3" s="18">
        <f>'Formato 6 d)'!F10</f>
        <v>13322492.82</v>
      </c>
      <c r="U3" s="18">
        <f>'Formato 6 d)'!G10</f>
        <v>3902582.1799999997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17225075</v>
      </c>
      <c r="Q24" s="18">
        <f>'Formato 6 d)'!C33</f>
        <v>0</v>
      </c>
      <c r="R24" s="18">
        <f>'Formato 6 d)'!D33</f>
        <v>17225075</v>
      </c>
      <c r="S24" s="18">
        <f>'Formato 6 d)'!E33</f>
        <v>13322492.82</v>
      </c>
      <c r="T24" s="18">
        <f>'Formato 6 d)'!F33</f>
        <v>13322492.82</v>
      </c>
      <c r="U24" s="18">
        <f>'Formato 6 d)'!G33</f>
        <v>3902582.1799999997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zoomScale="85" zoomScaleNormal="85" zoomScalePageLayoutView="90" workbookViewId="0">
      <selection sqref="A1:G1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Moroleón,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2022</v>
      </c>
      <c r="C6" s="181" t="str">
        <f>ANIO2P</f>
        <v>2023 (d)</v>
      </c>
      <c r="D6" s="181" t="str">
        <f>ANIO3P</f>
        <v>2024 (d)</v>
      </c>
      <c r="E6" s="181" t="str">
        <f>ANIO4P</f>
        <v>2025 (d)</v>
      </c>
      <c r="F6" s="181" t="str">
        <f>ANIO5P</f>
        <v>2026 (d)</v>
      </c>
      <c r="G6" s="181" t="str">
        <f>ANIO6P</f>
        <v>2027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51086058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/>
      <c r="C9" s="60"/>
      <c r="D9" s="60"/>
      <c r="E9" s="60"/>
      <c r="F9" s="60"/>
      <c r="G9" s="60"/>
    </row>
    <row r="10" spans="1:7" x14ac:dyDescent="0.25">
      <c r="A10" s="53" t="s">
        <v>217</v>
      </c>
      <c r="B10" s="60"/>
      <c r="C10" s="60"/>
      <c r="D10" s="60"/>
      <c r="E10" s="60"/>
      <c r="F10" s="60"/>
      <c r="G10" s="60"/>
    </row>
    <row r="11" spans="1:7" x14ac:dyDescent="0.25">
      <c r="A11" s="53" t="s">
        <v>218</v>
      </c>
      <c r="B11" s="60"/>
      <c r="C11" s="60"/>
      <c r="D11" s="60"/>
      <c r="E11" s="60"/>
      <c r="F11" s="60"/>
      <c r="G11" s="60"/>
    </row>
    <row r="12" spans="1:7" x14ac:dyDescent="0.25">
      <c r="A12" s="53" t="s">
        <v>416</v>
      </c>
      <c r="B12" s="60"/>
      <c r="C12" s="60"/>
      <c r="D12" s="60"/>
      <c r="E12" s="60"/>
      <c r="F12" s="60"/>
      <c r="G12" s="60"/>
    </row>
    <row r="13" spans="1:7" x14ac:dyDescent="0.25">
      <c r="A13" s="53" t="s">
        <v>220</v>
      </c>
      <c r="B13" s="60">
        <v>1161780</v>
      </c>
      <c r="C13" s="60"/>
      <c r="D13" s="60"/>
      <c r="E13" s="60"/>
      <c r="F13" s="60"/>
      <c r="G13" s="60"/>
    </row>
    <row r="14" spans="1:7" x14ac:dyDescent="0.25">
      <c r="A14" s="53" t="s">
        <v>221</v>
      </c>
      <c r="B14" s="60"/>
      <c r="C14" s="60"/>
      <c r="D14" s="60"/>
      <c r="E14" s="60"/>
      <c r="F14" s="60"/>
      <c r="G14" s="60"/>
    </row>
    <row r="15" spans="1:7" x14ac:dyDescent="0.25">
      <c r="A15" s="53" t="s">
        <v>417</v>
      </c>
      <c r="B15" s="60">
        <v>43524278</v>
      </c>
      <c r="C15" s="60"/>
      <c r="D15" s="60"/>
      <c r="E15" s="60"/>
      <c r="F15" s="60"/>
      <c r="G15" s="60"/>
    </row>
    <row r="16" spans="1:7" x14ac:dyDescent="0.2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x14ac:dyDescent="0.25">
      <c r="A18" s="53" t="s">
        <v>240</v>
      </c>
      <c r="B18" s="60">
        <v>6400000</v>
      </c>
      <c r="C18" s="60"/>
      <c r="D18" s="60"/>
      <c r="E18" s="60"/>
      <c r="F18" s="60"/>
      <c r="G18" s="60"/>
    </row>
    <row r="19" spans="1:7" x14ac:dyDescent="0.25">
      <c r="A19" s="53" t="s">
        <v>241</v>
      </c>
      <c r="B19" s="60"/>
      <c r="C19" s="60"/>
      <c r="D19" s="60"/>
      <c r="E19" s="60"/>
      <c r="F19" s="60"/>
      <c r="G19" s="60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/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51086058</v>
      </c>
      <c r="C32" s="61">
        <f t="shared" ref="C32:F32" si="3">C29+C22+C8</f>
        <v>0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51086058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1161780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43524278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6400000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51086058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90" zoomScaleNormal="90" workbookViewId="0">
      <selection activeCell="B20" sqref="B20:G28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Moroleón,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2022</v>
      </c>
      <c r="C6" s="181" t="str">
        <f>ANIO2P</f>
        <v>2023 (d)</v>
      </c>
      <c r="D6" s="181" t="str">
        <f>ANIO3P</f>
        <v>2024 (d)</v>
      </c>
      <c r="E6" s="181" t="str">
        <f>ANIO4P</f>
        <v>2025 (d)</v>
      </c>
      <c r="F6" s="181" t="str">
        <f>ANIO5P</f>
        <v>2026 (d)</v>
      </c>
      <c r="G6" s="181" t="str">
        <f>ANIO6P</f>
        <v>2027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51086058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>
        <v>18455812</v>
      </c>
      <c r="C9" s="60"/>
      <c r="D9" s="60"/>
      <c r="E9" s="60"/>
      <c r="F9" s="60"/>
      <c r="G9" s="60"/>
    </row>
    <row r="10" spans="1:7" x14ac:dyDescent="0.25">
      <c r="A10" s="53" t="s">
        <v>455</v>
      </c>
      <c r="B10" s="60">
        <v>4541227</v>
      </c>
      <c r="C10" s="60"/>
      <c r="D10" s="60"/>
      <c r="E10" s="60"/>
      <c r="F10" s="60"/>
      <c r="G10" s="60"/>
    </row>
    <row r="11" spans="1:7" x14ac:dyDescent="0.25">
      <c r="A11" s="53" t="s">
        <v>456</v>
      </c>
      <c r="B11" s="60">
        <v>22772166</v>
      </c>
      <c r="C11" s="60"/>
      <c r="D11" s="60"/>
      <c r="E11" s="60"/>
      <c r="F11" s="60"/>
      <c r="G11" s="60"/>
    </row>
    <row r="12" spans="1:7" x14ac:dyDescent="0.25">
      <c r="A12" s="53" t="s">
        <v>457</v>
      </c>
      <c r="B12" s="60">
        <v>11901</v>
      </c>
      <c r="C12" s="60"/>
      <c r="D12" s="60"/>
      <c r="E12" s="60"/>
      <c r="F12" s="60"/>
      <c r="G12" s="60"/>
    </row>
    <row r="13" spans="1:7" x14ac:dyDescent="0.25">
      <c r="A13" s="53" t="s">
        <v>458</v>
      </c>
      <c r="B13" s="60">
        <v>3</v>
      </c>
      <c r="C13" s="60"/>
      <c r="D13" s="60"/>
      <c r="E13" s="60"/>
      <c r="F13" s="60"/>
      <c r="G13" s="60"/>
    </row>
    <row r="14" spans="1:7" x14ac:dyDescent="0.25">
      <c r="A14" s="53" t="s">
        <v>459</v>
      </c>
      <c r="B14" s="60">
        <v>5304949</v>
      </c>
      <c r="C14" s="60"/>
      <c r="D14" s="60"/>
      <c r="E14" s="60"/>
      <c r="F14" s="60"/>
      <c r="G14" s="60"/>
    </row>
    <row r="15" spans="1:7" x14ac:dyDescent="0.25">
      <c r="A15" s="53" t="s">
        <v>460</v>
      </c>
      <c r="B15" s="60"/>
      <c r="C15" s="60"/>
      <c r="D15" s="60"/>
      <c r="E15" s="60"/>
      <c r="F15" s="60"/>
      <c r="G15" s="60"/>
    </row>
    <row r="16" spans="1:7" x14ac:dyDescent="0.25">
      <c r="A16" s="53" t="s">
        <v>461</v>
      </c>
      <c r="B16" s="60"/>
      <c r="C16" s="60"/>
      <c r="D16" s="60"/>
      <c r="E16" s="60"/>
      <c r="F16" s="60"/>
      <c r="G16" s="60"/>
    </row>
    <row r="17" spans="1:7" x14ac:dyDescent="0.25">
      <c r="A17" s="53" t="s">
        <v>462</v>
      </c>
      <c r="B17" s="60"/>
      <c r="C17" s="60"/>
      <c r="D17" s="60"/>
      <c r="E17" s="60"/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60"/>
      <c r="C27" s="60"/>
      <c r="D27" s="60"/>
      <c r="E27" s="60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51086058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51086058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18455812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4541227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22772166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11901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3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5304949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51086058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topLeftCell="B18" zoomScale="90" zoomScaleNormal="90" workbookViewId="0">
      <selection activeCell="G22" sqref="G22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Moroleón,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2016 ¹ (c)</v>
      </c>
      <c r="C5" s="186" t="str">
        <f>ANIO4R</f>
        <v>2017 ¹ (c)</v>
      </c>
      <c r="D5" s="186" t="str">
        <f>ANIO3R</f>
        <v>2018 ¹ (c)</v>
      </c>
      <c r="E5" s="186" t="str">
        <f>ANIO2R</f>
        <v>2019 ¹ (c)</v>
      </c>
      <c r="F5" s="186" t="str">
        <f>ANIO1R</f>
        <v>2020 ¹ (c)</v>
      </c>
      <c r="G5" s="51">
        <f>ANIO_INFORME</f>
        <v>2021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0</v>
      </c>
      <c r="F7" s="59">
        <f t="shared" si="0"/>
        <v>47827947.460000001</v>
      </c>
      <c r="G7" s="59">
        <f t="shared" si="0"/>
        <v>48556652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60"/>
      <c r="E12" s="60"/>
      <c r="F12" s="60">
        <v>1805781.86</v>
      </c>
      <c r="G12" s="60">
        <v>1096020</v>
      </c>
    </row>
    <row r="13" spans="1:7" x14ac:dyDescent="0.25">
      <c r="A13" s="56" t="s">
        <v>474</v>
      </c>
      <c r="B13" s="60"/>
      <c r="C13" s="60"/>
      <c r="D13" s="60"/>
      <c r="E13" s="60"/>
      <c r="F13" s="60"/>
      <c r="G13" s="60"/>
    </row>
    <row r="14" spans="1:7" x14ac:dyDescent="0.25">
      <c r="A14" s="53" t="s">
        <v>475</v>
      </c>
      <c r="B14" s="60"/>
      <c r="C14" s="60"/>
      <c r="D14" s="60"/>
      <c r="E14" s="60"/>
      <c r="F14" s="60">
        <v>41558268.200000003</v>
      </c>
      <c r="G14" s="60">
        <v>41060632</v>
      </c>
    </row>
    <row r="15" spans="1:7" x14ac:dyDescent="0.25">
      <c r="A15" s="53" t="s">
        <v>476</v>
      </c>
      <c r="B15" s="60"/>
      <c r="C15" s="60"/>
      <c r="D15" s="60"/>
      <c r="E15" s="60"/>
      <c r="F15" s="60"/>
      <c r="G15" s="60"/>
    </row>
    <row r="16" spans="1:7" x14ac:dyDescent="0.25">
      <c r="A16" s="53" t="s">
        <v>477</v>
      </c>
      <c r="B16" s="60"/>
      <c r="C16" s="60"/>
      <c r="D16" s="60"/>
      <c r="E16" s="60"/>
      <c r="F16" s="60"/>
      <c r="G16" s="60"/>
    </row>
    <row r="17" spans="1:7" x14ac:dyDescent="0.25">
      <c r="A17" s="53" t="s">
        <v>3298</v>
      </c>
      <c r="B17" s="60"/>
      <c r="C17" s="60"/>
      <c r="D17" s="60"/>
      <c r="E17" s="60"/>
      <c r="F17" s="60"/>
      <c r="G17" s="60">
        <v>6400000</v>
      </c>
    </row>
    <row r="18" spans="1:7" x14ac:dyDescent="0.25">
      <c r="A18" s="53" t="s">
        <v>478</v>
      </c>
      <c r="B18" s="60"/>
      <c r="C18" s="60"/>
      <c r="D18" s="60"/>
      <c r="E18" s="60"/>
      <c r="F18" s="60">
        <v>4463897.4000000004</v>
      </c>
      <c r="G18" s="60"/>
    </row>
    <row r="19" spans="1:7" x14ac:dyDescent="0.25">
      <c r="A19" s="53" t="s">
        <v>479</v>
      </c>
      <c r="B19" s="60"/>
      <c r="C19" s="60"/>
      <c r="D19" s="60"/>
      <c r="E19" s="60"/>
      <c r="F19" s="60"/>
      <c r="G19" s="60"/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3941203.85</v>
      </c>
      <c r="G28" s="61">
        <f t="shared" si="2"/>
        <v>0</v>
      </c>
    </row>
    <row r="29" spans="1:7" x14ac:dyDescent="0.25">
      <c r="A29" s="53" t="s">
        <v>269</v>
      </c>
      <c r="B29" s="60">
        <f t="shared" ref="B29:G29" si="3">+B36</f>
        <v>0</v>
      </c>
      <c r="C29" s="60">
        <f t="shared" si="3"/>
        <v>0</v>
      </c>
      <c r="D29" s="60">
        <f t="shared" si="3"/>
        <v>0</v>
      </c>
      <c r="E29" s="60">
        <f t="shared" si="3"/>
        <v>0</v>
      </c>
      <c r="F29" s="60">
        <f t="shared" si="3"/>
        <v>3941203.85</v>
      </c>
      <c r="G29" s="60">
        <f t="shared" si="3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4">C7+C21+C28</f>
        <v>0</v>
      </c>
      <c r="D31" s="61">
        <f t="shared" si="4"/>
        <v>0</v>
      </c>
      <c r="E31" s="61">
        <f t="shared" si="4"/>
        <v>0</v>
      </c>
      <c r="F31" s="61">
        <f t="shared" si="4"/>
        <v>51769151.310000002</v>
      </c>
      <c r="G31" s="61">
        <f t="shared" si="4"/>
        <v>48556652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>
        <v>3941203.85</v>
      </c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5">C34+C35</f>
        <v>0</v>
      </c>
      <c r="D36" s="61">
        <f t="shared" si="5"/>
        <v>0</v>
      </c>
      <c r="E36" s="61">
        <f t="shared" si="5"/>
        <v>0</v>
      </c>
      <c r="F36" s="61">
        <f t="shared" si="5"/>
        <v>3941203.85</v>
      </c>
      <c r="G36" s="61">
        <f t="shared" si="5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47827947.460000001</v>
      </c>
      <c r="U2" s="18">
        <f>'Formato 7 c)'!G7</f>
        <v>48556652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1805781.86</v>
      </c>
      <c r="U7" s="18">
        <f>'Formato 7 c)'!G12</f>
        <v>1096020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41558268.200000003</v>
      </c>
      <c r="U9" s="18">
        <f>'Formato 7 c)'!G14</f>
        <v>41060632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6400000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4463897.4000000004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3941203.85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3941203.85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51769151.310000002</v>
      </c>
      <c r="U23" s="18">
        <f>'Formato 7 c)'!G31</f>
        <v>48556652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3941203.85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3941203.85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topLeftCell="A7" zoomScale="90" zoomScaleNormal="90" workbookViewId="0">
      <selection activeCell="B19" sqref="B19:G27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Moroleón,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2016 ¹ (c)</v>
      </c>
      <c r="C5" s="186" t="str">
        <f>ANIO4R</f>
        <v>2017 ¹ (c)</v>
      </c>
      <c r="D5" s="186" t="str">
        <f>ANIO3R</f>
        <v>2018 ¹ (c)</v>
      </c>
      <c r="E5" s="186" t="str">
        <f>ANIO2R</f>
        <v>2019 ¹ (c)</v>
      </c>
      <c r="F5" s="186" t="str">
        <f>ANIO1R</f>
        <v>2020 ¹ (c)</v>
      </c>
      <c r="G5" s="51">
        <f>ANIO_INFORME</f>
        <v>2021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0</v>
      </c>
      <c r="F7" s="59">
        <f t="shared" si="0"/>
        <v>42912975.509999998</v>
      </c>
      <c r="G7" s="59">
        <f t="shared" si="0"/>
        <v>48556652</v>
      </c>
    </row>
    <row r="8" spans="1:7" x14ac:dyDescent="0.25">
      <c r="A8" s="53" t="s">
        <v>454</v>
      </c>
      <c r="B8" s="60"/>
      <c r="C8" s="60"/>
      <c r="D8" s="60"/>
      <c r="E8" s="60"/>
      <c r="F8" s="60">
        <v>12499803.970000001</v>
      </c>
      <c r="G8" s="60">
        <v>17225075</v>
      </c>
    </row>
    <row r="9" spans="1:7" x14ac:dyDescent="0.25">
      <c r="A9" s="53" t="s">
        <v>455</v>
      </c>
      <c r="B9" s="60"/>
      <c r="C9" s="60"/>
      <c r="D9" s="60"/>
      <c r="E9" s="60"/>
      <c r="F9" s="60">
        <v>4619517.87</v>
      </c>
      <c r="G9" s="60">
        <v>4336523</v>
      </c>
    </row>
    <row r="10" spans="1:7" x14ac:dyDescent="0.25">
      <c r="A10" s="53" t="s">
        <v>456</v>
      </c>
      <c r="B10" s="60"/>
      <c r="C10" s="60"/>
      <c r="D10" s="60"/>
      <c r="E10" s="60"/>
      <c r="F10" s="60">
        <v>19349699.129999999</v>
      </c>
      <c r="G10" s="60">
        <v>21678786</v>
      </c>
    </row>
    <row r="11" spans="1:7" x14ac:dyDescent="0.25">
      <c r="A11" s="53" t="s">
        <v>457</v>
      </c>
      <c r="B11" s="60"/>
      <c r="C11" s="60"/>
      <c r="D11" s="60"/>
      <c r="E11" s="60"/>
      <c r="F11" s="60">
        <v>5000</v>
      </c>
      <c r="G11" s="60">
        <v>11316</v>
      </c>
    </row>
    <row r="12" spans="1:7" x14ac:dyDescent="0.25">
      <c r="A12" s="53" t="s">
        <v>458</v>
      </c>
      <c r="B12" s="60"/>
      <c r="C12" s="60"/>
      <c r="D12" s="60"/>
      <c r="E12" s="60"/>
      <c r="F12" s="60">
        <v>3199427.74</v>
      </c>
      <c r="G12" s="60">
        <v>3</v>
      </c>
    </row>
    <row r="13" spans="1:7" x14ac:dyDescent="0.25">
      <c r="A13" s="53" t="s">
        <v>459</v>
      </c>
      <c r="B13" s="60"/>
      <c r="C13" s="60"/>
      <c r="D13" s="60"/>
      <c r="E13" s="60"/>
      <c r="F13" s="60">
        <v>3239526.8</v>
      </c>
      <c r="G13" s="60">
        <v>5304949</v>
      </c>
    </row>
    <row r="14" spans="1:7" x14ac:dyDescent="0.25">
      <c r="A14" s="53" t="s">
        <v>460</v>
      </c>
      <c r="B14" s="60"/>
      <c r="C14" s="60"/>
      <c r="D14" s="60"/>
      <c r="E14" s="60"/>
      <c r="F14" s="60"/>
      <c r="G14" s="60"/>
    </row>
    <row r="15" spans="1:7" x14ac:dyDescent="0.25">
      <c r="A15" s="53" t="s">
        <v>461</v>
      </c>
      <c r="B15" s="60"/>
      <c r="C15" s="60"/>
      <c r="D15" s="60"/>
      <c r="E15" s="60"/>
      <c r="F15" s="60"/>
      <c r="G15" s="60"/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0</v>
      </c>
      <c r="F29" s="60">
        <f t="shared" si="2"/>
        <v>42912975.509999998</v>
      </c>
      <c r="G29" s="60">
        <f t="shared" si="2"/>
        <v>48556652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42912975.509999998</v>
      </c>
      <c r="U2" s="18">
        <f>'Formato 7 d)'!G7</f>
        <v>48556652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12499803.970000001</v>
      </c>
      <c r="U3" s="18">
        <f>'Formato 7 d)'!G8</f>
        <v>17225075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4619517.87</v>
      </c>
      <c r="U4" s="18">
        <f>'Formato 7 d)'!G9</f>
        <v>4336523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19349699.129999999</v>
      </c>
      <c r="U5" s="18">
        <f>'Formato 7 d)'!G10</f>
        <v>21678786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5000</v>
      </c>
      <c r="U6" s="18">
        <f>'Formato 7 d)'!G11</f>
        <v>11316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3199427.74</v>
      </c>
      <c r="U7" s="18">
        <f>'Formato 7 d)'!G12</f>
        <v>3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3239526.8</v>
      </c>
      <c r="U8" s="18">
        <f>'Formato 7 d)'!G13</f>
        <v>5304949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42912975.509999998</v>
      </c>
      <c r="U22" s="18">
        <f>'Formato 7 d)'!G29</f>
        <v>48556652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SISTEMA MUNICIPAL DE AGUA POTABLE Y ALCANTARILLADO DE MOROLEON,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x14ac:dyDescent="0.25">
      <c r="A17" s="139" t="s">
        <v>509</v>
      </c>
      <c r="B17" s="60"/>
      <c r="C17" s="60"/>
      <c r="D17" s="60"/>
      <c r="E17" s="60"/>
      <c r="F17" s="60"/>
    </row>
    <row r="18" spans="1:6" x14ac:dyDescent="0.2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17283"/>
  <sheetViews>
    <sheetView showGridLines="0" zoomScaleNormal="100" workbookViewId="0">
      <selection activeCell="A81" sqref="A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SISTEMA MUNICIPAL DE AGUA POTABLE Y ALCANTARILLADO DE MOROLEON,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2020 y al 31 de diciembre de 2021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2021 (d)</v>
      </c>
      <c r="C6" s="131" t="str">
        <f>ULTIMO</f>
        <v>31 de diciembre de 2020 (e)</v>
      </c>
      <c r="D6" s="135" t="s">
        <v>0</v>
      </c>
      <c r="E6" s="134" t="str">
        <f>ANIO</f>
        <v>2021 (d)</v>
      </c>
      <c r="F6" s="131" t="str">
        <f>ULTIMO</f>
        <v>31 de diciembre de 2020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36647409.009999998</v>
      </c>
      <c r="C9" s="60">
        <f>SUM(C10:C16)</f>
        <v>48146666.439999998</v>
      </c>
      <c r="D9" s="100" t="s">
        <v>54</v>
      </c>
      <c r="E9" s="60">
        <f>SUM(E10:E18)</f>
        <v>1763873.33</v>
      </c>
      <c r="F9" s="60">
        <f>SUM(F10:F18)</f>
        <v>2527959.0999999996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4760</v>
      </c>
      <c r="F11" s="60">
        <v>178646.37</v>
      </c>
    </row>
    <row r="12" spans="1:6" x14ac:dyDescent="0.25">
      <c r="A12" s="96" t="s">
        <v>6</v>
      </c>
      <c r="B12" s="77">
        <v>15233152.470000001</v>
      </c>
      <c r="C12" s="60">
        <v>22503651.530000001</v>
      </c>
      <c r="D12" s="101" t="s">
        <v>57</v>
      </c>
      <c r="E12" s="60">
        <v>699465.43</v>
      </c>
      <c r="F12" s="60">
        <v>1278837.51</v>
      </c>
    </row>
    <row r="13" spans="1:6" x14ac:dyDescent="0.25">
      <c r="A13" s="96" t="s">
        <v>7</v>
      </c>
      <c r="B13" s="60">
        <v>21414256.539999999</v>
      </c>
      <c r="C13" s="60">
        <v>25643014.91</v>
      </c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1059647.8999999999</v>
      </c>
      <c r="F16" s="60">
        <v>1070475.22</v>
      </c>
    </row>
    <row r="17" spans="1:6" x14ac:dyDescent="0.25">
      <c r="A17" s="95" t="s">
        <v>11</v>
      </c>
      <c r="B17" s="60">
        <f>SUM(B18:B24)</f>
        <v>15950067.84</v>
      </c>
      <c r="C17" s="60">
        <f>SUM(C18:C24)</f>
        <v>6669104.6600000001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>
        <v>0</v>
      </c>
      <c r="F18" s="60">
        <v>0</v>
      </c>
    </row>
    <row r="19" spans="1:6" x14ac:dyDescent="0.25">
      <c r="A19" s="97" t="s">
        <v>13</v>
      </c>
      <c r="B19" s="60">
        <v>6561448.8499999996</v>
      </c>
      <c r="C19" s="60">
        <v>5523811.0599999996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0</v>
      </c>
      <c r="C20" s="60">
        <v>0</v>
      </c>
      <c r="D20" s="101" t="s">
        <v>65</v>
      </c>
      <c r="E20" s="60"/>
      <c r="F20" s="60"/>
    </row>
    <row r="21" spans="1:6" x14ac:dyDescent="0.25">
      <c r="A21" s="97" t="s">
        <v>15</v>
      </c>
      <c r="B21" s="60"/>
      <c r="C21" s="60"/>
      <c r="D21" s="101" t="s">
        <v>66</v>
      </c>
      <c r="E21" s="60"/>
      <c r="F21" s="60"/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/>
      <c r="F22" s="60"/>
    </row>
    <row r="23" spans="1:6" x14ac:dyDescent="0.25">
      <c r="A23" s="97" t="s">
        <v>17</v>
      </c>
      <c r="B23" s="60">
        <v>9200000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188618.99</v>
      </c>
      <c r="C24" s="60">
        <v>1145293.6000000001</v>
      </c>
      <c r="D24" s="101" t="s">
        <v>69</v>
      </c>
      <c r="E24" s="60"/>
      <c r="F24" s="60"/>
    </row>
    <row r="25" spans="1:6" x14ac:dyDescent="0.25">
      <c r="A25" s="95" t="s">
        <v>19</v>
      </c>
      <c r="B25" s="60">
        <v>0</v>
      </c>
      <c r="C25" s="60">
        <v>189071.04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/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0</v>
      </c>
      <c r="C29" s="60">
        <v>189071.04</v>
      </c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4356609.5</v>
      </c>
      <c r="C37" s="60">
        <v>5006700.55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56954086.349999994</v>
      </c>
      <c r="C47" s="61">
        <f>C9+C17+C25+C31+C38+C41+C37</f>
        <v>60011542.68999999</v>
      </c>
      <c r="D47" s="99" t="s">
        <v>91</v>
      </c>
      <c r="E47" s="61">
        <f>E9+E19+E23+E26+E27+E31+E38+E42</f>
        <v>1763873.33</v>
      </c>
      <c r="F47" s="61">
        <f>F9+F19+F23+F26+F27+F31+F38+F42</f>
        <v>2527959.0999999996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60">
        <v>119199417.14</v>
      </c>
      <c r="C52" s="60">
        <v>109497345.81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17105401.949999999</v>
      </c>
      <c r="C53" s="60">
        <v>15054635.15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3719503.57</v>
      </c>
      <c r="C54" s="60">
        <v>3719503.57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-15419055.42</v>
      </c>
      <c r="C55" s="60">
        <v>-12591720.939999999</v>
      </c>
      <c r="D55" s="37" t="s">
        <v>98</v>
      </c>
      <c r="E55" s="60"/>
      <c r="F55" s="60"/>
    </row>
    <row r="56" spans="1:6" x14ac:dyDescent="0.25">
      <c r="A56" s="95" t="s">
        <v>47</v>
      </c>
      <c r="B56" s="60">
        <v>1879218.27</v>
      </c>
      <c r="C56" s="60">
        <v>1778823.25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1763873.33</v>
      </c>
      <c r="F59" s="61">
        <f>F47+F57</f>
        <v>2527959.0999999996</v>
      </c>
    </row>
    <row r="60" spans="1:6" x14ac:dyDescent="0.25">
      <c r="A60" s="55" t="s">
        <v>50</v>
      </c>
      <c r="B60" s="61">
        <f>SUM(B50:B58)</f>
        <v>126484485.50999999</v>
      </c>
      <c r="C60" s="61">
        <f>SUM(C50:C58)</f>
        <v>117458586.84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183438571.85999998</v>
      </c>
      <c r="C62" s="61">
        <f>SUM(C47+C60)</f>
        <v>177470129.53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60971041.590000004</v>
      </c>
      <c r="F63" s="77">
        <f>SUM(F64:F66)</f>
        <v>60971041.590000004</v>
      </c>
    </row>
    <row r="64" spans="1:6" x14ac:dyDescent="0.25">
      <c r="A64" s="54"/>
      <c r="B64" s="54"/>
      <c r="C64" s="54"/>
      <c r="D64" s="103" t="s">
        <v>103</v>
      </c>
      <c r="E64" s="77">
        <v>60971041.590000004</v>
      </c>
      <c r="F64" s="77">
        <v>60971041.590000004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120703656.94</v>
      </c>
      <c r="F68" s="77">
        <f>SUM(F69:F73)</f>
        <v>113971128.84</v>
      </c>
    </row>
    <row r="69" spans="1:6" x14ac:dyDescent="0.25">
      <c r="A69" s="12"/>
      <c r="B69" s="54"/>
      <c r="C69" s="54"/>
      <c r="D69" s="103" t="s">
        <v>107</v>
      </c>
      <c r="E69" s="77">
        <v>6418727.5999999996</v>
      </c>
      <c r="F69" s="77">
        <v>9952885.2699999996</v>
      </c>
    </row>
    <row r="70" spans="1:6" x14ac:dyDescent="0.25">
      <c r="A70" s="12"/>
      <c r="B70" s="54"/>
      <c r="C70" s="54"/>
      <c r="D70" s="103" t="s">
        <v>108</v>
      </c>
      <c r="E70" s="77">
        <v>108065602.77</v>
      </c>
      <c r="F70" s="77">
        <v>98790928.5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6219326.5700000003</v>
      </c>
      <c r="F73" s="77">
        <v>5227315.07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181674698.53</v>
      </c>
      <c r="F79" s="61">
        <f>F63+F68+F75</f>
        <v>174942170.43000001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183438571.86000001</v>
      </c>
      <c r="F81" s="61">
        <f>F59+F79</f>
        <v>177470129.53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36647409.009999998</v>
      </c>
      <c r="Q4" s="18">
        <f>'Formato 1'!C9</f>
        <v>48146666.439999998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15233152.470000001</v>
      </c>
      <c r="Q7" s="18">
        <f>'Formato 1'!C12</f>
        <v>22503651.530000001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21414256.539999999</v>
      </c>
      <c r="Q8" s="18">
        <f>'Formato 1'!C13</f>
        <v>25643014.91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15950067.84</v>
      </c>
      <c r="Q12" s="18">
        <f>'Formato 1'!C17</f>
        <v>6669104.6600000001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6561448.8499999996</v>
      </c>
      <c r="Q14" s="18">
        <f>'Formato 1'!C19</f>
        <v>5523811.0599999996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9200000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188618.99</v>
      </c>
      <c r="Q19" s="18">
        <f>'Formato 1'!C24</f>
        <v>1145293.6000000001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189071.04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189071.04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4356609.5</v>
      </c>
      <c r="Q32" s="18">
        <f>'Formato 1'!C37</f>
        <v>5006700.55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4356609.5</v>
      </c>
      <c r="Q33" s="18">
        <f>'Formato 1'!C37</f>
        <v>5006700.55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56954086.349999994</v>
      </c>
      <c r="Q42" s="18">
        <f>'Formato 1'!C47</f>
        <v>60011542.68999999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119199417.14</v>
      </c>
      <c r="Q46">
        <f>'Formato 1'!C52</f>
        <v>109497345.81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17105401.949999999</v>
      </c>
      <c r="Q47">
        <f>'Formato 1'!C53</f>
        <v>15054635.15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3719503.57</v>
      </c>
      <c r="Q48">
        <f>'Formato 1'!C54</f>
        <v>3719503.57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-15419055.42</v>
      </c>
      <c r="Q49">
        <f>'Formato 1'!C55</f>
        <v>-12591720.939999999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1879218.27</v>
      </c>
      <c r="Q50">
        <f>'Formato 1'!C56</f>
        <v>1778823.25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126484485.50999999</v>
      </c>
      <c r="Q53">
        <f>'Formato 1'!C60</f>
        <v>117458586.84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183438571.85999998</v>
      </c>
      <c r="Q54">
        <f>'Formato 1'!C62</f>
        <v>177470129.53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1763873.33</v>
      </c>
      <c r="Q57">
        <f>'Formato 1'!F9</f>
        <v>2527959.0999999996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4760</v>
      </c>
      <c r="Q59">
        <f>'Formato 1'!F11</f>
        <v>178646.37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699465.43</v>
      </c>
      <c r="Q60">
        <f>'Formato 1'!F12</f>
        <v>1278837.51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1059647.8999999999</v>
      </c>
      <c r="Q64">
        <f>'Formato 1'!F16</f>
        <v>1070475.22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1763873.33</v>
      </c>
      <c r="Q95">
        <f>'Formato 1'!F47</f>
        <v>2527959.0999999996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1763873.33</v>
      </c>
      <c r="Q104">
        <f>'Formato 1'!F59</f>
        <v>2527959.0999999996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60971041.590000004</v>
      </c>
      <c r="Q106">
        <f>'Formato 1'!F63</f>
        <v>60971041.590000004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60971041.590000004</v>
      </c>
      <c r="Q107">
        <f>'Formato 1'!F64</f>
        <v>60971041.590000004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120703656.94</v>
      </c>
      <c r="Q110">
        <f>'Formato 1'!F68</f>
        <v>113971128.84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6418727.5999999996</v>
      </c>
      <c r="Q111">
        <f>'Formato 1'!F69</f>
        <v>9952885.2699999996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108065602.77</v>
      </c>
      <c r="Q112">
        <f>'Formato 1'!F70</f>
        <v>98790928.5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6219326.5700000003</v>
      </c>
      <c r="Q115">
        <f>'Formato 1'!F73</f>
        <v>5227315.07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181674698.53</v>
      </c>
      <c r="Q119">
        <f>'Formato 1'!F79</f>
        <v>174942170.43000001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183438571.86000001</v>
      </c>
      <c r="Q120">
        <f>'Formato 1'!F81</f>
        <v>177470129.53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topLeftCell="A4" zoomScale="90" zoomScaleNormal="90" workbookViewId="0">
      <selection activeCell="A7" sqref="A7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SISTEMA MUNICIPAL DE AGUA POTABLE Y ALCANTARILLADO DE MOROLEON,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2020 y al 31 de diciembre de 2021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2020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2527959.1</v>
      </c>
      <c r="C18" s="132"/>
      <c r="D18" s="132"/>
      <c r="E18" s="132"/>
      <c r="F18" s="61">
        <v>1763873.33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2527959.1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1763873.33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2527959.1</v>
      </c>
      <c r="Q12" s="18"/>
      <c r="R12" s="18"/>
      <c r="S12" s="18"/>
      <c r="T12" s="18">
        <f>'Formato 2'!F18</f>
        <v>1763873.33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2527959.1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1763873.33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topLeftCell="A2" zoomScale="90" zoomScaleNormal="90" workbookViewId="0">
      <selection activeCell="A20" sqref="A20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SISTEMA MUNICIPAL DE AGUA POTABLE Y ALCANTARILLADO DE MOROLEON,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2021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2021 (k)</v>
      </c>
      <c r="J6" s="131" t="str">
        <f>MONTO2</f>
        <v>Monto pagado de la inversión actualizado al 31 de diciembre de 2021 (l)</v>
      </c>
      <c r="K6" s="131" t="str">
        <f>SALDO_PENDIENTE</f>
        <v>Saldo pendiente por pagar de la inversión al 31 de diciembre de 2021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>
        <f>E9-J9</f>
        <v>0</v>
      </c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>
        <f t="shared" ref="K10:K12" si="0">E10-J10</f>
        <v>0</v>
      </c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>
        <f t="shared" si="0"/>
        <v>0</v>
      </c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>
        <f t="shared" si="0"/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1">E16-J16</f>
        <v>0</v>
      </c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1"/>
        <v>0</v>
      </c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1"/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Server</cp:lastModifiedBy>
  <cp:lastPrinted>2017-02-04T00:56:20Z</cp:lastPrinted>
  <dcterms:created xsi:type="dcterms:W3CDTF">2017-01-19T17:59:06Z</dcterms:created>
  <dcterms:modified xsi:type="dcterms:W3CDTF">2022-01-14T21:59:38Z</dcterms:modified>
</cp:coreProperties>
</file>